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220" tabRatio="806" firstSheet="4" activeTab="9"/>
  </bookViews>
  <sheets>
    <sheet name="XXXXXXX" sheetId="1" state="veryHidden" r:id="rId1"/>
    <sheet name="Table-1-3" sheetId="2" r:id="rId2"/>
    <sheet name="Table-4" sheetId="3" r:id="rId3"/>
    <sheet name="Table-5(Rev)" sheetId="4" r:id="rId4"/>
    <sheet name="Tab-6" sheetId="5" r:id="rId5"/>
    <sheet name="Table-7A(BR)" sheetId="6" r:id="rId6"/>
    <sheet name="Table-7(IMR)" sheetId="7" r:id="rId7"/>
    <sheet name="Table-8" sheetId="8" r:id="rId8"/>
    <sheet name="Table-9" sheetId="9" r:id="rId9"/>
    <sheet name="Dist-exercise" sheetId="10" r:id="rId10"/>
    <sheet name="Annex-I- Approved" sheetId="11" r:id="rId11"/>
    <sheet name="Proposed NCA-2008-09(Annex-II)" sheetId="12" r:id="rId12"/>
    <sheet name="Variation over 2007-08" sheetId="13" r:id="rId13"/>
    <sheet name="amount-distrbtn" sheetId="14" r:id="rId14"/>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Parse_Out" hidden="1">#REF!</definedName>
    <definedName name="aca">#REF!</definedName>
    <definedName name="aruaca">#REF!</definedName>
    <definedName name="bbbcr">'[3]BCR-Annex3'!$A$2:$J$31</definedName>
    <definedName name="BBCR">'[2]BCR-Annex3'!$A$2:$J$30</definedName>
    <definedName name="BCR">#REF!</definedName>
    <definedName name="Brief">#REF!</definedName>
    <definedName name="dada">'[4]Brief'!#REF!</definedName>
    <definedName name="data">#REF!</definedName>
    <definedName name="data2">'[3]Brief'!#REF!</definedName>
    <definedName name="EXTRACT">'[6]FORM5'!#REF!</definedName>
    <definedName name="facts">#REF!</definedName>
    <definedName name="Form1">#REF!</definedName>
    <definedName name="FormIA">#REF!</definedName>
    <definedName name="PChange">#REF!</definedName>
    <definedName name="_xlnm.Print_Area" localSheetId="13">'amount-distrbtn'!$A$1:$D$8</definedName>
    <definedName name="_xlnm.Print_Area" localSheetId="10">'Annex-I- Approved'!$A$1:$P$47</definedName>
    <definedName name="_xlnm.Print_Area" localSheetId="9">'Dist-exercise'!$A$1:$L$81</definedName>
    <definedName name="_xlnm.Print_Area" localSheetId="11">'Proposed NCA-2008-09(Annex-II)'!$A$1:$P$47</definedName>
    <definedName name="_xlnm.Print_Area" localSheetId="4">'Tab-6'!$A$2:$H$26</definedName>
    <definedName name="_xlnm.Print_Area" localSheetId="1">'Table-1-3'!$A$1:$G$110</definedName>
    <definedName name="_xlnm.Print_Area" localSheetId="2">'Table-4'!$A$1:$F$50</definedName>
    <definedName name="_xlnm.Print_Area" localSheetId="3">'Table-5(Rev)'!$A$1:$N$24</definedName>
    <definedName name="_xlnm.Print_Area" localSheetId="6">'Table-7(IMR)'!$A$1:$P$29</definedName>
    <definedName name="_xlnm.Print_Area" localSheetId="5">'Table-7A(BR)'!$A$1:$H$29</definedName>
    <definedName name="_xlnm.Print_Area" localSheetId="7">'Table-8'!$A$1:$H$25</definedName>
    <definedName name="_xlnm.Print_Area" localSheetId="8">'Table-9'!$A$1:$F$25</definedName>
    <definedName name="_xlnm.Print_Area" localSheetId="12">'Variation over 2007-08'!$A$1:$AC$26</definedName>
    <definedName name="PRINT_AREA_MI">#REF!</definedName>
    <definedName name="_xlnm.Print_Titles" localSheetId="12">'Variation over 2007-08'!$A:$B</definedName>
    <definedName name="SOF">#REF!</definedName>
  </definedNames>
  <calcPr fullCalcOnLoad="1"/>
</workbook>
</file>

<file path=xl/sharedStrings.xml><?xml version="1.0" encoding="utf-8"?>
<sst xmlns="http://schemas.openxmlformats.org/spreadsheetml/2006/main" count="868" uniqueCount="304">
  <si>
    <t>STATE</t>
  </si>
  <si>
    <t>Percent</t>
  </si>
  <si>
    <t>ANDHRA PRADESH</t>
  </si>
  <si>
    <t>BIHAR</t>
  </si>
  <si>
    <t xml:space="preserve"> </t>
  </si>
  <si>
    <t>GOA</t>
  </si>
  <si>
    <t>GUJARAT</t>
  </si>
  <si>
    <t>HARYANA</t>
  </si>
  <si>
    <t>KARNATAKA</t>
  </si>
  <si>
    <t>KERALA</t>
  </si>
  <si>
    <t>MADHYA PRADESH</t>
  </si>
  <si>
    <t>MAHARASHTRA</t>
  </si>
  <si>
    <t>ORISSA</t>
  </si>
  <si>
    <t>PUNJAB</t>
  </si>
  <si>
    <t>RAJASTHAN</t>
  </si>
  <si>
    <t>TAMILNADU</t>
  </si>
  <si>
    <t>UTTAR PRADESH</t>
  </si>
  <si>
    <t>WEST BENGAL</t>
  </si>
  <si>
    <t xml:space="preserve">   TOTAL</t>
  </si>
  <si>
    <t>*</t>
  </si>
  <si>
    <t>NATIONAL AVERAGE</t>
  </si>
  <si>
    <t>*  Below national Average with +1 % band.</t>
  </si>
  <si>
    <t xml:space="preserve">    1.</t>
  </si>
  <si>
    <t xml:space="preserve">    2.</t>
  </si>
  <si>
    <t xml:space="preserve">   3.</t>
  </si>
  <si>
    <t xml:space="preserve">    4.</t>
  </si>
  <si>
    <t xml:space="preserve">   5.</t>
  </si>
  <si>
    <t xml:space="preserve">   6.</t>
  </si>
  <si>
    <t>TOTAL</t>
  </si>
  <si>
    <t xml:space="preserve">    3.</t>
  </si>
  <si>
    <t xml:space="preserve">   4.</t>
  </si>
  <si>
    <t xml:space="preserve">    7.</t>
  </si>
  <si>
    <t xml:space="preserve">    8.</t>
  </si>
  <si>
    <t xml:space="preserve">    9.</t>
  </si>
  <si>
    <t xml:space="preserve">  10.</t>
  </si>
  <si>
    <t>Total</t>
  </si>
  <si>
    <t>AP</t>
  </si>
  <si>
    <t>Actuals</t>
  </si>
  <si>
    <t xml:space="preserve">  6.</t>
  </si>
  <si>
    <t xml:space="preserve">   7.</t>
  </si>
  <si>
    <t xml:space="preserve">   4</t>
  </si>
  <si>
    <t xml:space="preserve">  </t>
  </si>
  <si>
    <t xml:space="preserve">     6.</t>
  </si>
  <si>
    <t>Percent  Share</t>
  </si>
  <si>
    <t>Population 1971 (lakh)</t>
  </si>
  <si>
    <t>Weighted distance  (3x4)</t>
  </si>
  <si>
    <t>Percent Share in Total</t>
  </si>
  <si>
    <t>Annual Plan</t>
  </si>
  <si>
    <t xml:space="preserve"> Difference</t>
  </si>
  <si>
    <t xml:space="preserve">   Percent Diff.</t>
  </si>
  <si>
    <t>Female literacy Rate (1991)</t>
  </si>
  <si>
    <t>Sr. No.</t>
  </si>
  <si>
    <t>BIHAR *</t>
  </si>
  <si>
    <t>MADHYA PRADESH *</t>
  </si>
  <si>
    <t xml:space="preserve">MAHARASHTRA </t>
  </si>
  <si>
    <t>ORISSA*</t>
  </si>
  <si>
    <t>RAJASTHAN *</t>
  </si>
  <si>
    <t>UTTAR PRADESH *</t>
  </si>
  <si>
    <t>WEST BENGAL *</t>
  </si>
  <si>
    <t>ORISSA *</t>
  </si>
  <si>
    <t>Population 1971  (Lakhs)</t>
  </si>
  <si>
    <t>( * Below National Average with 1% band).</t>
  </si>
  <si>
    <t>Percent Utilisation</t>
  </si>
  <si>
    <t>Percent  Share in Total</t>
  </si>
  <si>
    <t>Area distributed as % of total distributed</t>
  </si>
  <si>
    <t>Area distributed as % of surplus</t>
  </si>
  <si>
    <t>Average Percent Share(with equal weight to col 5 &amp; 6)</t>
  </si>
  <si>
    <t>TABLE 1</t>
  </si>
  <si>
    <t>TABLE 2</t>
  </si>
  <si>
    <t>TABLE 3</t>
  </si>
  <si>
    <t>TABLE 4</t>
  </si>
  <si>
    <t>TABLE 5</t>
  </si>
  <si>
    <t xml:space="preserve">TABLE 6 </t>
  </si>
  <si>
    <t>TABLE 9</t>
  </si>
  <si>
    <t>TABLE 8</t>
  </si>
  <si>
    <t>#  Per Capita national Averge (with 1% band).</t>
  </si>
  <si>
    <t>Source : *  RBI Bulletin "Study on State Finance".</t>
  </si>
  <si>
    <t>STATES</t>
  </si>
  <si>
    <t>Population</t>
  </si>
  <si>
    <t>Per Capita Income</t>
  </si>
  <si>
    <t>Tax Effort</t>
  </si>
  <si>
    <t>Fiscal Management</t>
  </si>
  <si>
    <t>Removal of lliteracy</t>
  </si>
  <si>
    <t>Population Control</t>
  </si>
  <si>
    <t>Land Reforms</t>
  </si>
  <si>
    <t>EAP Completion</t>
  </si>
  <si>
    <t>Deviation   Method</t>
  </si>
  <si>
    <t>Distance  Method</t>
  </si>
  <si>
    <t xml:space="preserve">  (60.0%)</t>
  </si>
  <si>
    <t xml:space="preserve">  (20.0%)</t>
  </si>
  <si>
    <t xml:space="preserve">  (5.0%)</t>
  </si>
  <si>
    <t xml:space="preserve"> (2.5%)</t>
  </si>
  <si>
    <t xml:space="preserve">  (2.0%)</t>
  </si>
  <si>
    <t xml:space="preserve">  (1.0%)</t>
  </si>
  <si>
    <t xml:space="preserve"> (0.5%)</t>
  </si>
  <si>
    <t xml:space="preserve">  (0.5%)</t>
  </si>
  <si>
    <t xml:space="preserve">BIHAR </t>
  </si>
  <si>
    <t xml:space="preserve">ORISSA </t>
  </si>
  <si>
    <t>(92.5% OF THE FORMULA BASED CRITERIA)</t>
  </si>
  <si>
    <t xml:space="preserve">  Total</t>
  </si>
  <si>
    <t>(92.5 %)</t>
  </si>
  <si>
    <t>11</t>
  </si>
  <si>
    <t>TABLE -7</t>
  </si>
  <si>
    <t>Actual Performance</t>
  </si>
  <si>
    <t>Deviation from Desired</t>
  </si>
  <si>
    <t xml:space="preserve">     3.</t>
  </si>
  <si>
    <t xml:space="preserve">      4.</t>
  </si>
  <si>
    <t xml:space="preserve">      5.</t>
  </si>
  <si>
    <t xml:space="preserve">       7.</t>
  </si>
  <si>
    <t xml:space="preserve">     8.</t>
  </si>
  <si>
    <t xml:space="preserve">     TOTAL</t>
  </si>
  <si>
    <t>(i)DEVIATION METHOD(WEIGHT-20%)</t>
  </si>
  <si>
    <t>(ii)DISTANCE METHOD(WEIGHT-5%)</t>
  </si>
  <si>
    <t>(III)TAX EFFORT CRITERION -(WEIGHT-2.5%)</t>
  </si>
  <si>
    <t xml:space="preserve">         (IV) FISCAL MANAGEMENT CRITERION (WEIGHT- 2%)</t>
  </si>
  <si>
    <t xml:space="preserve">         (V) REMOVAL OF ILLITERACY CRITERION (WEIGHT - 1%)</t>
  </si>
  <si>
    <t xml:space="preserve">        (VII) LAND REFORMS CRITERION (WEGHT - 0.5%)</t>
  </si>
  <si>
    <t>(VIII) ONTIME COMPLETION OF EAPs CRITERION (WEIGHT- 0.5%)</t>
  </si>
  <si>
    <t>TABLE-10</t>
  </si>
  <si>
    <t xml:space="preserve">TABLE 12 </t>
  </si>
  <si>
    <t>Proposed</t>
  </si>
  <si>
    <t>A.</t>
  </si>
  <si>
    <t>B.</t>
  </si>
  <si>
    <t>Special Problems(7.5%)</t>
  </si>
  <si>
    <t>C.</t>
  </si>
  <si>
    <t xml:space="preserve">ANDHRA PRADESH   </t>
  </si>
  <si>
    <t>(Rs. Crore)</t>
  </si>
  <si>
    <t>Removal of llliteracy</t>
  </si>
  <si>
    <t>ASSAM</t>
  </si>
  <si>
    <t>HIMACHAL PRADESH</t>
  </si>
  <si>
    <t>JAMMU &amp; KASHMIR</t>
  </si>
  <si>
    <t>MANIPUR</t>
  </si>
  <si>
    <t>MEGHALAYA</t>
  </si>
  <si>
    <t>MIZORAM</t>
  </si>
  <si>
    <t>NAGALAND</t>
  </si>
  <si>
    <t>SIKKIM</t>
  </si>
  <si>
    <t>TRIPURA</t>
  </si>
  <si>
    <t>TOTAL (A+B)</t>
  </si>
  <si>
    <t>CHATTISGARH</t>
  </si>
  <si>
    <t>JHARKHAND</t>
  </si>
  <si>
    <t>UTTARANCHAL</t>
  </si>
  <si>
    <t>Total (12 to 28)</t>
  </si>
  <si>
    <t>CHATTISGARH *</t>
  </si>
  <si>
    <t>JHARKHAND*</t>
  </si>
  <si>
    <t>Jharkhand</t>
  </si>
  <si>
    <t>JHARKHAND *</t>
  </si>
  <si>
    <t xml:space="preserve">CHATTISGARH </t>
  </si>
  <si>
    <t>2002-03</t>
  </si>
  <si>
    <t>Female literacy Rate (2001)</t>
  </si>
  <si>
    <t>States</t>
  </si>
  <si>
    <t>ARUNACHAL PRADESH</t>
  </si>
  <si>
    <t xml:space="preserve">Population  1971   </t>
  </si>
  <si>
    <t xml:space="preserve">  (In Lakhs)</t>
  </si>
  <si>
    <t>(II)PER CAPITA INCOME CRITERION (25%)</t>
  </si>
  <si>
    <t>(PER CAPITA INCOME CRITERION- ALL STATES)</t>
  </si>
  <si>
    <t>Area distributed  (In Acres)</t>
  </si>
  <si>
    <t>TABLE - 5 A</t>
  </si>
  <si>
    <t>TABLE -4A</t>
  </si>
  <si>
    <t>(Col. 2 -Col. 4)</t>
  </si>
  <si>
    <t>(Col 5 -Col. 3)</t>
  </si>
  <si>
    <t>TABLE -7A</t>
  </si>
  <si>
    <t>Continued on next page……..</t>
  </si>
  <si>
    <t>( In Rs.)</t>
  </si>
  <si>
    <t>Actuals/ LE</t>
  </si>
  <si>
    <t>Note: State's Own Resources include BCR, Contribution of State Public Enterprises(SEB &amp; SRTC),State Provident Funds,MCR,Loans against Small Savings,Bonds/Debentures,SLR based Market Borrowings,Negotiated Loans and Opening Balances.</t>
  </si>
  <si>
    <t>Rate of Growth (91-2001)</t>
  </si>
  <si>
    <t>Average Percent Share (BR+IMR)</t>
  </si>
  <si>
    <t xml:space="preserve">   % Share (IMR)</t>
  </si>
  <si>
    <t>(ii)  INFANT MORTALITY RATE (IMR)</t>
  </si>
  <si>
    <t xml:space="preserve">  Total Allocation of NCA</t>
  </si>
  <si>
    <t>PERCENTAGE DISTRIBUTION OF NORMAL CENTRAL ASSISTANCE ( AS PER GADGIL FORMULA)</t>
  </si>
  <si>
    <t>TOTAL-A</t>
  </si>
  <si>
    <t>TOTAL-B</t>
  </si>
  <si>
    <t xml:space="preserve">SPECIAL CATEGORY  STATES(SCS)  </t>
  </si>
  <si>
    <t>NON SPECIAL CATEGORY STATES(NSCS)</t>
  </si>
  <si>
    <t>Total Amount of NCA</t>
  </si>
  <si>
    <t xml:space="preserve">ANDHRA PRADESH </t>
  </si>
  <si>
    <t>Weighted  Distance(3 x 4)</t>
  </si>
  <si>
    <t>NB: For Goa, and Punjab the least differential within other states (viz. Maharashtra is taken).</t>
  </si>
  <si>
    <t>2005-06</t>
  </si>
  <si>
    <t>Amount Distribution</t>
  </si>
  <si>
    <t>Total (1 to 11)</t>
  </si>
  <si>
    <t>70% for NSCS</t>
  </si>
  <si>
    <t>30% for SCS</t>
  </si>
  <si>
    <t>2006-07</t>
  </si>
  <si>
    <t>#  Per Capita National Average (with 1% band).</t>
  </si>
  <si>
    <r>
      <t>A. Ref. Col.(3) &amp; Col. (5)States which have surpassed the targets of Birth Rate</t>
    </r>
    <r>
      <rPr>
        <b/>
        <sz val="12"/>
        <rFont val="Arial"/>
        <family val="2"/>
      </rPr>
      <t>(Andhra Pradesh, Goa,Kerala,Maharashtra,Punjab, Tamil Nadu and West Bengal</t>
    </r>
    <r>
      <rPr>
        <sz val="12"/>
        <rFont val="Arial"/>
        <family val="2"/>
      </rPr>
      <t>) are assigned the value of "zero" under Desired/Actual performance.Hence their share in NCA under this criteria is same.</t>
    </r>
  </si>
  <si>
    <r>
      <t xml:space="preserve">A. Ref. Col.(10) &amp; Col. (12) States which have surpassed the targets of IMR( </t>
    </r>
    <r>
      <rPr>
        <b/>
        <sz val="12"/>
        <rFont val="Arial"/>
        <family val="2"/>
      </rPr>
      <t>Goa,Kerala, Maharashtra and Tamil Nadu</t>
    </r>
    <r>
      <rPr>
        <sz val="12"/>
        <rFont val="Arial"/>
        <family val="2"/>
      </rPr>
      <t>) are assigned the value of "zero" under Desired/Actual performance.Hence their share in NCA under this criterion is same.</t>
    </r>
  </si>
  <si>
    <t>ALLOCATION OF NORMAL CENTRAL ASSISTANCE(NCA) FOR NSCS FROM DISTRIBUTABLE AMOUNT OF RS 10,000 CRORE</t>
  </si>
  <si>
    <t>2007-08</t>
  </si>
  <si>
    <t xml:space="preserve">  IMR (2004)</t>
  </si>
  <si>
    <t>2004-05</t>
  </si>
  <si>
    <t xml:space="preserve">2003-04 </t>
  </si>
  <si>
    <t>Andhra Pradesh</t>
  </si>
  <si>
    <t>Bihar</t>
  </si>
  <si>
    <t>Chattisgarh</t>
  </si>
  <si>
    <t>Goa</t>
  </si>
  <si>
    <t>Gujarat</t>
  </si>
  <si>
    <t>Haryana</t>
  </si>
  <si>
    <t>Karnataka</t>
  </si>
  <si>
    <t>Kerala</t>
  </si>
  <si>
    <t>Madhya Pradesh</t>
  </si>
  <si>
    <t>Maharashtra</t>
  </si>
  <si>
    <t>Orissa</t>
  </si>
  <si>
    <t>Punjab</t>
  </si>
  <si>
    <t>Rajasthan</t>
  </si>
  <si>
    <t>Tamil Nadu</t>
  </si>
  <si>
    <t>U.P.</t>
  </si>
  <si>
    <t>West Bengal</t>
  </si>
  <si>
    <t>(Col. 2 -21 / 7)</t>
  </si>
  <si>
    <r>
      <t xml:space="preserve">B.Ref. Col.(7) - States which have surpassed the target of BR  are assigned the weight of the next best performing state which has not yet reached the target( i.e. </t>
    </r>
    <r>
      <rPr>
        <b/>
        <sz val="12"/>
        <rFont val="Arial"/>
        <family val="2"/>
      </rPr>
      <t>Karnataka).</t>
    </r>
  </si>
  <si>
    <t>(-3.25 - Col.6)</t>
  </si>
  <si>
    <r>
      <t>B.Ref. Col.(14) - States which have surpassed the target of IMR  are assigned the weight of the next best performing state which has not yet reached the target(i.e</t>
    </r>
    <r>
      <rPr>
        <b/>
        <sz val="12"/>
        <rFont val="Arial"/>
        <family val="2"/>
      </rPr>
      <t>.West Bengal )</t>
    </r>
    <r>
      <rPr>
        <sz val="12"/>
        <rFont val="Arial"/>
        <family val="2"/>
      </rPr>
      <t>.</t>
    </r>
  </si>
  <si>
    <t>2003-04</t>
  </si>
  <si>
    <t>* Below National Average States( 8 states).</t>
  </si>
  <si>
    <t xml:space="preserve">INTER STATE ALLOCATION OF NORMAL CENTRAL ASSISTANCE (NCA)  FOR NON SPECIAL CATEGORY STATES - GADGIL- MUKHERJEE FORMULA </t>
  </si>
  <si>
    <t>Population Estimates (lakhs) **</t>
  </si>
  <si>
    <t>Average Per Capita Tax Effort (5/9)  (IN RS.)</t>
  </si>
  <si>
    <t>Tax Effort as % of Per Capita NSDP (2/3)</t>
  </si>
  <si>
    <t xml:space="preserve">WEST BENGAL </t>
  </si>
  <si>
    <t xml:space="preserve">ORISSA  </t>
  </si>
  <si>
    <t>Per Cent   Share in 2007-08</t>
  </si>
  <si>
    <t>Addl. Central Assistance</t>
  </si>
  <si>
    <t>(19336)</t>
  </si>
  <si>
    <t>2008-09</t>
  </si>
  <si>
    <t>COMPARABLE PER CAPITA NET STATE DOMESTIC PRODUCT (NSDP)(2002-03 TO 2004-05)</t>
  </si>
  <si>
    <t>Average       2002-2005</t>
  </si>
  <si>
    <t>(19336)  #</t>
  </si>
  <si>
    <t>Distance from Punjab (30112)</t>
  </si>
  <si>
    <t>Pre- Actuals</t>
  </si>
  <si>
    <t>STATES' OWN RESOURCES (2002-03  to 2006-07)</t>
  </si>
  <si>
    <t>Total ( 2002-03 to 2006-07)</t>
  </si>
  <si>
    <t>Release/Utilisation 2005-06</t>
  </si>
  <si>
    <t>AP Allocation 2005-06</t>
  </si>
  <si>
    <t xml:space="preserve">  IMR (2005)</t>
  </si>
  <si>
    <t xml:space="preserve">SRS data ( October, 2004) </t>
  </si>
  <si>
    <t>STATES' OWN TAX RECEIPTS FOR NON SPECIAL CATEGORY STATES(2002-03 TO 2004-05)</t>
  </si>
  <si>
    <t>(VI)POPULATION CONTROL CRITERION (WEIGHT - 1%)</t>
  </si>
  <si>
    <t>(Col. 5 -Col. 3)</t>
  </si>
  <si>
    <t>Sl. No.</t>
  </si>
  <si>
    <t>Percent share (Decadal growth)</t>
  </si>
  <si>
    <t>Percent Share (Fem Lit.2001)</t>
  </si>
  <si>
    <t>States' Own Resources ( 2002-2007 )</t>
  </si>
  <si>
    <t>Average Per Capita Tax Effort (2002-05)</t>
  </si>
  <si>
    <t>Average Per Capita  NSDP     (2002-05)</t>
  </si>
  <si>
    <t>TABLE 11 (2008-09)</t>
  </si>
  <si>
    <t>Growth over 2007-08 (%)</t>
  </si>
  <si>
    <t>2008-09 (AP)</t>
  </si>
  <si>
    <t>Desired Performance (45) in 2007</t>
  </si>
  <si>
    <t xml:space="preserve">  Distance from lowest performing (UP  - 10 )</t>
  </si>
  <si>
    <t>(-10 - Col.6)</t>
  </si>
  <si>
    <t>NATIONAL AVERAGE - with +1% band</t>
  </si>
  <si>
    <t>Average Per Capita   (Rs.)  (2002-05)</t>
  </si>
  <si>
    <t xml:space="preserve"> (STATE WITH PER CAPITA INCOME BELOW NATIONAL  AVERAGE CRITERION)</t>
  </si>
  <si>
    <t>STATES OWN TAX REVENUE  (Rs lakhs) *</t>
  </si>
  <si>
    <t>** GSDP-Comparable Estimates of State Domestic Product(Final)(1999 - 2000 series) - CSO</t>
  </si>
  <si>
    <t>SL. No.</t>
  </si>
  <si>
    <r>
      <t xml:space="preserve">Average Percent Share                    </t>
    </r>
    <r>
      <rPr>
        <b/>
        <i/>
        <sz val="11"/>
        <color indexed="10"/>
        <rFont val="Arial"/>
        <family val="2"/>
      </rPr>
      <t>(Col.4 &amp; Col.6)</t>
    </r>
  </si>
  <si>
    <t>Desired Performance (21) in 2007</t>
  </si>
  <si>
    <t>Birth Rate (2005)</t>
  </si>
  <si>
    <t>Birth Rate (2004)</t>
  </si>
  <si>
    <t>% Share (Birth Rate)</t>
  </si>
  <si>
    <t>(VI) POPULATION CONTROL CRITERION (WEGHT - 1%)</t>
  </si>
  <si>
    <t>(i) BIRTH RATE (BR)</t>
  </si>
  <si>
    <t>Distance from lowest Peforming ( Bihar  -3.27 )</t>
  </si>
  <si>
    <r>
      <t>C.Ref Col.(7)  State with the lowest performing state( i.e.</t>
    </r>
    <r>
      <rPr>
        <b/>
        <sz val="12"/>
        <rFont val="Arial"/>
        <family val="2"/>
      </rPr>
      <t xml:space="preserve"> Bihar</t>
    </r>
    <r>
      <rPr>
        <sz val="12"/>
        <rFont val="Arial"/>
        <family val="2"/>
      </rPr>
      <t>) is assigned the weight of second lowest performing state( i.e.Uttar Pradesh ).</t>
    </r>
  </si>
  <si>
    <t>C.Ref Col.(14)  State with the lowest performing state(I.e.Uttar Pradesh) has been assigned the weight of second lowest performing state(I.e. Orissa)</t>
  </si>
  <si>
    <t>Revd on 16th Nov- KG</t>
  </si>
  <si>
    <t>Area declared surplus  as on 30.06.2007 (In Acres)</t>
  </si>
  <si>
    <t>* Till 2007-08, data for Jharkhand was Not Available, therefore Jharkhand was assigned the same weight as of Bihar.</t>
  </si>
  <si>
    <t>During 2008-09 the data for Surplus Area declared is not Avialble but state govt has provided data for Area Distributed. The Surplus Area declared has been worked out in the same ratio as that of Bihar.</t>
  </si>
  <si>
    <t>Proposed ( Loans + Grants)</t>
  </si>
  <si>
    <t>NCA( Grants)</t>
  </si>
  <si>
    <t>PROPOSED  ALLOCATION OF NORMAL CENTRAL ASSISTANCE (NCA)  TO STATES AS PER GADGIL FORMULA -  2008-09 (AP)</t>
  </si>
  <si>
    <t xml:space="preserve"> NCA( Loans+ Grants)</t>
  </si>
  <si>
    <t>Annex-II</t>
  </si>
  <si>
    <t xml:space="preserve">   2007-08(AP)        ( Approved)</t>
  </si>
  <si>
    <t>Annex-I</t>
  </si>
  <si>
    <t>2008-09(AP)         (Entitled/ Proposed)</t>
  </si>
  <si>
    <t xml:space="preserve">GOA </t>
  </si>
  <si>
    <t>old</t>
  </si>
  <si>
    <t>diff</t>
  </si>
  <si>
    <t>Distance  from Highest Deterioration (Punjab)</t>
  </si>
  <si>
    <t>REVISED(28-11-2007)</t>
  </si>
  <si>
    <t>Variation over     2007-08 (AP)    (Col.3-Col.2)</t>
  </si>
  <si>
    <t>Variation over     2007-08 (AP)    (Col.7-Col.6)</t>
  </si>
  <si>
    <t>All SCS have been uniformly  given a growth of 10% over last year's allocations of NCA. The share of NSCS has been worked out on the basis of Gadgil Formula.</t>
  </si>
  <si>
    <t>Note : To estimate Entitlement of NCA  for 2008-09 (AP), a step-up of 10% is given to the total NCA( loans + Grants)   for 2007-08 (AP), which works out to Rs. 37548.84 crore, out of which as per Gadgil Formula, 30% has been provided to Special Category States(SCS) and 70% to the Non Special Category States (NSCS).</t>
  </si>
  <si>
    <t xml:space="preserve">   2007-08(AP)           ( Approved)</t>
  </si>
  <si>
    <t xml:space="preserve">Distributable Amount of Rs.24312.88 crore (Out of 70% of the Total Budgetary Allocation of NCA of  Rs.37548.84 crore i. e. Rs. 26284.19 crore)  for NSCSs </t>
  </si>
  <si>
    <t>(i) POPULATION CRITERION-(WEIGHT-60%)</t>
  </si>
  <si>
    <t>Variation over 2007-08</t>
  </si>
  <si>
    <t>Total Net Variation</t>
  </si>
  <si>
    <t xml:space="preserve"> Growth(%)</t>
  </si>
  <si>
    <t xml:space="preserve">Maharashtra has net gain of </t>
  </si>
  <si>
    <t>On-time EAP Completion</t>
  </si>
  <si>
    <t xml:space="preserve">CRITERIA-WISE PERCENT  VARIATION IN 2008-09 OVER 2007-08 IN ALLOCATION OF NCA ( AS PER GADGIL FORMULA)  </t>
  </si>
  <si>
    <t xml:space="preserve">TABLE 2  A                    </t>
  </si>
  <si>
    <t>APPROVED ALLOCATION OF NORMAL CENTRAL ASSISTANCE (NCA)  TO STATES AS PER GADGIL FORMULA -  2008-09 (AP)</t>
  </si>
  <si>
    <t>Dated :25-01-2008</t>
  </si>
  <si>
    <t>Dated : 29.11.2007</t>
  </si>
  <si>
    <t>(Col. 2 -21 /3)</t>
  </si>
  <si>
    <t>(-3.27 - Col.6)</t>
  </si>
  <si>
    <t>(Col. 2 -45/3 )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</si>
</sst>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_)"/>
    <numFmt numFmtId="166" formatCode="0_)"/>
    <numFmt numFmtId="167" formatCode="0.0"/>
    <numFmt numFmtId="168" formatCode="0.0_)"/>
    <numFmt numFmtId="169" formatCode="0.00;[Red]0.00"/>
    <numFmt numFmtId="170" formatCode="\(0\)"/>
    <numFmt numFmtId="171" formatCode="0.000000000000"/>
    <numFmt numFmtId="172" formatCode="_(* #,##0_);_(* \(#,##0\);_(* &quot;-&quot;??_);_(@_)"/>
    <numFmt numFmtId="173" formatCode="0.000"/>
    <numFmt numFmtId="174" formatCode="0.0000000000"/>
    <numFmt numFmtId="175" formatCode="0.00000000000"/>
    <numFmt numFmtId="176" formatCode="0.0000000000000"/>
    <numFmt numFmtId="177" formatCode="0.00000000000000"/>
    <numFmt numFmtId="178" formatCode="0.000000000000000"/>
    <numFmt numFmtId="179" formatCode="0.000000000"/>
    <numFmt numFmtId="180" formatCode="0.00000000"/>
    <numFmt numFmtId="181" formatCode="0.0000000"/>
    <numFmt numFmtId="182" formatCode="0.000000"/>
    <numFmt numFmtId="183" formatCode="0.00000"/>
    <numFmt numFmtId="184" formatCode="0.0000"/>
  </numFmts>
  <fonts count="96">
    <font>
      <sz val="10"/>
      <name val="Courier"/>
      <family val="0"/>
    </font>
    <font>
      <sz val="10"/>
      <name val="Arial"/>
      <family val="0"/>
    </font>
    <font>
      <u val="single"/>
      <sz val="10"/>
      <color indexed="12"/>
      <name val="Courier"/>
      <family val="0"/>
    </font>
    <font>
      <u val="single"/>
      <sz val="10"/>
      <color indexed="36"/>
      <name val="Courier"/>
      <family val="0"/>
    </font>
    <font>
      <b/>
      <sz val="10"/>
      <name val="Courier"/>
      <family val="3"/>
    </font>
    <font>
      <b/>
      <sz val="12"/>
      <name val="Courier"/>
      <family val="3"/>
    </font>
    <font>
      <b/>
      <sz val="10"/>
      <name val="Arial"/>
      <family val="2"/>
    </font>
    <font>
      <b/>
      <u val="single"/>
      <sz val="10"/>
      <name val="Arial"/>
      <family val="2"/>
    </font>
    <font>
      <sz val="12"/>
      <name val="Arial"/>
      <family val="2"/>
    </font>
    <font>
      <b/>
      <sz val="12"/>
      <name val="Arial"/>
      <family val="2"/>
    </font>
    <font>
      <b/>
      <sz val="12"/>
      <color indexed="10"/>
      <name val="Arial"/>
      <family val="2"/>
    </font>
    <font>
      <b/>
      <u val="single"/>
      <sz val="12"/>
      <color indexed="10"/>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sz val="12"/>
      <color indexed="14"/>
      <name val="Arial"/>
      <family val="2"/>
    </font>
    <font>
      <sz val="12"/>
      <name val="Courier"/>
      <family val="0"/>
    </font>
    <font>
      <sz val="14"/>
      <name val="Courier"/>
      <family val="0"/>
    </font>
    <font>
      <sz val="14"/>
      <name val="Arial"/>
      <family val="2"/>
    </font>
    <font>
      <b/>
      <sz val="14"/>
      <name val="Courier"/>
      <family val="0"/>
    </font>
    <font>
      <b/>
      <sz val="11"/>
      <name val="Arial"/>
      <family val="2"/>
    </font>
    <font>
      <sz val="10"/>
      <name val="Times New Roman"/>
      <family val="1"/>
    </font>
    <font>
      <b/>
      <sz val="14"/>
      <color indexed="10"/>
      <name val="Arial"/>
      <family val="2"/>
    </font>
    <font>
      <sz val="12"/>
      <color indexed="8"/>
      <name val="Arial"/>
      <family val="2"/>
    </font>
    <font>
      <b/>
      <u val="single"/>
      <sz val="14"/>
      <color indexed="10"/>
      <name val="Arial"/>
      <family val="2"/>
    </font>
    <font>
      <b/>
      <sz val="14"/>
      <name val="Arial"/>
      <family val="2"/>
    </font>
    <font>
      <b/>
      <u val="single"/>
      <sz val="14"/>
      <name val="Arial"/>
      <family val="2"/>
    </font>
    <font>
      <b/>
      <sz val="16"/>
      <name val="Arial"/>
      <family val="2"/>
    </font>
    <font>
      <sz val="11"/>
      <name val="Arial"/>
      <family val="2"/>
    </font>
    <font>
      <b/>
      <u val="single"/>
      <sz val="16"/>
      <name val="Arial"/>
      <family val="2"/>
    </font>
    <font>
      <b/>
      <sz val="16"/>
      <color indexed="10"/>
      <name val="Arial"/>
      <family val="2"/>
    </font>
    <font>
      <sz val="16"/>
      <color indexed="14"/>
      <name val="Arial"/>
      <family val="2"/>
    </font>
    <font>
      <sz val="16"/>
      <name val="Arial"/>
      <family val="2"/>
    </font>
    <font>
      <sz val="16"/>
      <color indexed="10"/>
      <name val="Arial"/>
      <family val="2"/>
    </font>
    <font>
      <b/>
      <u val="single"/>
      <sz val="14"/>
      <color indexed="14"/>
      <name val="Arial"/>
      <family val="2"/>
    </font>
    <font>
      <sz val="11"/>
      <color indexed="63"/>
      <name val="Arial"/>
      <family val="2"/>
    </font>
    <font>
      <sz val="11"/>
      <color indexed="8"/>
      <name val="Arial"/>
      <family val="2"/>
    </font>
    <font>
      <b/>
      <u val="single"/>
      <sz val="11"/>
      <color indexed="10"/>
      <name val="Arial"/>
      <family val="2"/>
    </font>
    <font>
      <b/>
      <u val="single"/>
      <sz val="12"/>
      <color indexed="12"/>
      <name val="Arial"/>
      <family val="2"/>
    </font>
    <font>
      <sz val="10"/>
      <color indexed="12"/>
      <name val="Arial"/>
      <family val="2"/>
    </font>
    <font>
      <b/>
      <u val="single"/>
      <sz val="12"/>
      <color indexed="14"/>
      <name val="Arial"/>
      <family val="2"/>
    </font>
    <font>
      <sz val="10"/>
      <color indexed="9"/>
      <name val="Courier"/>
      <family val="0"/>
    </font>
    <font>
      <sz val="12"/>
      <color indexed="8"/>
      <name val="Courier"/>
      <family val="0"/>
    </font>
    <font>
      <sz val="15"/>
      <name val="Courier"/>
      <family val="0"/>
    </font>
    <font>
      <sz val="15"/>
      <color indexed="8"/>
      <name val="Courier"/>
      <family val="0"/>
    </font>
    <font>
      <b/>
      <sz val="15"/>
      <color indexed="10"/>
      <name val="Arial"/>
      <family val="2"/>
    </font>
    <font>
      <b/>
      <sz val="12"/>
      <color indexed="8"/>
      <name val="Bookman Old Style"/>
      <family val="1"/>
    </font>
    <font>
      <b/>
      <i/>
      <sz val="10"/>
      <name val="Arial"/>
      <family val="2"/>
    </font>
    <font>
      <b/>
      <sz val="12"/>
      <color indexed="8"/>
      <name val="Arial"/>
      <family val="2"/>
    </font>
    <font>
      <sz val="11"/>
      <color indexed="9"/>
      <name val="Arial"/>
      <family val="2"/>
    </font>
    <font>
      <b/>
      <sz val="14"/>
      <color indexed="8"/>
      <name val="Arial"/>
      <family val="2"/>
    </font>
    <font>
      <sz val="14"/>
      <color indexed="8"/>
      <name val="Arial"/>
      <family val="2"/>
    </font>
    <font>
      <sz val="14"/>
      <color indexed="10"/>
      <name val="Arial"/>
      <family val="2"/>
    </font>
    <font>
      <b/>
      <sz val="9"/>
      <name val="Arial"/>
      <family val="2"/>
    </font>
    <font>
      <b/>
      <sz val="14"/>
      <color indexed="14"/>
      <name val="Arial"/>
      <family val="2"/>
    </font>
    <font>
      <sz val="14"/>
      <color indexed="14"/>
      <name val="Arial"/>
      <family val="2"/>
    </font>
    <font>
      <u val="single"/>
      <sz val="12"/>
      <name val="Courier"/>
      <family val="3"/>
    </font>
    <font>
      <sz val="11"/>
      <color indexed="10"/>
      <name val="Arial"/>
      <family val="2"/>
    </font>
    <font>
      <sz val="12"/>
      <name val="Bookman Old Style"/>
      <family val="1"/>
    </font>
    <font>
      <b/>
      <sz val="12"/>
      <color indexed="15"/>
      <name val="Arial"/>
      <family val="2"/>
    </font>
    <font>
      <sz val="12"/>
      <color indexed="15"/>
      <name val="Arial"/>
      <family val="2"/>
    </font>
    <font>
      <sz val="10"/>
      <color indexed="15"/>
      <name val="Arial"/>
      <family val="2"/>
    </font>
    <font>
      <b/>
      <sz val="12"/>
      <color indexed="48"/>
      <name val="Arial"/>
      <family val="2"/>
    </font>
    <font>
      <b/>
      <sz val="12"/>
      <color indexed="14"/>
      <name val="Trebuchet MS"/>
      <family val="2"/>
    </font>
    <font>
      <sz val="15"/>
      <color indexed="8"/>
      <name val="Arial"/>
      <family val="2"/>
    </font>
    <font>
      <b/>
      <sz val="15"/>
      <name val="Arial"/>
      <family val="2"/>
    </font>
    <font>
      <sz val="15"/>
      <name val="Arial"/>
      <family val="2"/>
    </font>
    <font>
      <b/>
      <u val="single"/>
      <sz val="15"/>
      <color indexed="10"/>
      <name val="Arial"/>
      <family val="2"/>
    </font>
    <font>
      <b/>
      <u val="single"/>
      <sz val="15"/>
      <color indexed="14"/>
      <name val="Arial"/>
      <family val="2"/>
    </font>
    <font>
      <b/>
      <i/>
      <sz val="12"/>
      <name val="Arial"/>
      <family val="2"/>
    </font>
    <font>
      <b/>
      <i/>
      <sz val="10"/>
      <name val="Courier"/>
      <family val="0"/>
    </font>
    <font>
      <b/>
      <i/>
      <sz val="14"/>
      <name val="Arial"/>
      <family val="2"/>
    </font>
    <font>
      <b/>
      <i/>
      <sz val="12"/>
      <color indexed="10"/>
      <name val="Arial"/>
      <family val="2"/>
    </font>
    <font>
      <sz val="14"/>
      <name val="Bookman Old Style"/>
      <family val="1"/>
    </font>
    <font>
      <b/>
      <sz val="14"/>
      <color indexed="10"/>
      <name val="Bookman Old Style"/>
      <family val="1"/>
    </font>
    <font>
      <b/>
      <sz val="9"/>
      <color indexed="10"/>
      <name val="Arial"/>
      <family val="2"/>
    </font>
    <font>
      <b/>
      <sz val="12"/>
      <name val="Bookman Old Style"/>
      <family val="1"/>
    </font>
    <font>
      <b/>
      <sz val="11"/>
      <name val="Courier"/>
      <family val="0"/>
    </font>
    <font>
      <b/>
      <sz val="10"/>
      <color indexed="8"/>
      <name val="Arial"/>
      <family val="2"/>
    </font>
    <font>
      <i/>
      <sz val="12"/>
      <name val="Arial"/>
      <family val="2"/>
    </font>
    <font>
      <i/>
      <sz val="10"/>
      <name val="Arial"/>
      <family val="2"/>
    </font>
    <font>
      <sz val="10"/>
      <color indexed="9"/>
      <name val="Arial"/>
      <family val="2"/>
    </font>
    <font>
      <sz val="9"/>
      <name val="Arial"/>
      <family val="2"/>
    </font>
    <font>
      <b/>
      <i/>
      <sz val="8"/>
      <name val="Arial"/>
      <family val="2"/>
    </font>
    <font>
      <b/>
      <i/>
      <sz val="8"/>
      <color indexed="10"/>
      <name val="Arial"/>
      <family val="2"/>
    </font>
    <font>
      <sz val="10"/>
      <color indexed="8"/>
      <name val="Arial"/>
      <family val="2"/>
    </font>
    <font>
      <b/>
      <sz val="11"/>
      <color indexed="10"/>
      <name val="Arial"/>
      <family val="2"/>
    </font>
    <font>
      <b/>
      <i/>
      <sz val="11"/>
      <color indexed="10"/>
      <name val="Arial"/>
      <family val="2"/>
    </font>
    <font>
      <i/>
      <sz val="10"/>
      <name val="Courier"/>
      <family val="0"/>
    </font>
    <font>
      <sz val="10"/>
      <color indexed="10"/>
      <name val="Courier"/>
      <family val="0"/>
    </font>
    <font>
      <sz val="12"/>
      <color indexed="51"/>
      <name val="Arial"/>
      <family val="2"/>
    </font>
    <font>
      <sz val="8"/>
      <name val="Arial"/>
      <family val="2"/>
    </font>
    <font>
      <b/>
      <sz val="12"/>
      <color indexed="51"/>
      <name val="Arial"/>
      <family val="2"/>
    </font>
    <font>
      <sz val="14"/>
      <color indexed="51"/>
      <name val="Arial"/>
      <family val="2"/>
    </font>
    <font>
      <b/>
      <sz val="14"/>
      <color indexed="51"/>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10"/>
        <bgColor indexed="64"/>
      </patternFill>
    </fill>
  </fills>
  <borders count="58">
    <border>
      <left/>
      <right/>
      <top/>
      <bottom/>
      <diagonal/>
    </border>
    <border>
      <left style="thin"/>
      <right style="thin"/>
      <top style="thin"/>
      <bottom style="thin"/>
    </border>
    <border>
      <left style="hair"/>
      <right style="hair"/>
      <top style="hair"/>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style="hair"/>
      <top style="hair"/>
      <bottom style="hair"/>
    </border>
    <border>
      <left style="thin"/>
      <right style="thin"/>
      <top>
        <color indexed="63"/>
      </top>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hair"/>
      <top style="thin"/>
      <bottom style="hair"/>
    </border>
    <border>
      <left style="hair"/>
      <right style="hair"/>
      <top style="thin"/>
      <bottom style="hair"/>
    </border>
    <border>
      <left style="thin"/>
      <right style="hair"/>
      <top style="hair"/>
      <bottom style="hair"/>
    </border>
    <border>
      <left style="hair"/>
      <right style="thin"/>
      <top style="hair"/>
      <bottom style="hair"/>
    </border>
    <border>
      <left style="medium"/>
      <right style="hair"/>
      <top style="medium"/>
      <bottom style="hair"/>
    </border>
    <border>
      <left style="hair"/>
      <right style="hair"/>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medium"/>
      <right style="medium"/>
      <top style="hair"/>
      <bottom style="hair"/>
    </border>
    <border>
      <left style="thin"/>
      <right style="hair"/>
      <top style="hair"/>
      <bottom style="thin"/>
    </border>
    <border>
      <left style="hair"/>
      <right style="thin"/>
      <top style="hair"/>
      <bottom style="thin"/>
    </border>
    <border>
      <left style="hair"/>
      <right style="hair"/>
      <top style="hair"/>
      <bottom style="thin"/>
    </border>
    <border>
      <left style="hair"/>
      <right style="medium"/>
      <top style="hair"/>
      <bottom style="medium"/>
    </border>
    <border>
      <left style="medium"/>
      <right style="medium"/>
      <top style="hair"/>
      <bottom style="medium"/>
    </border>
    <border>
      <left style="dashed"/>
      <right style="dashed"/>
      <top style="medium"/>
      <bottom style="dashed"/>
    </border>
    <border>
      <left style="dashed"/>
      <right style="dashed"/>
      <top style="dashed"/>
      <bottom style="dashed"/>
    </border>
    <border>
      <left style="medium"/>
      <right style="dashed"/>
      <top style="dashed"/>
      <bottom style="dashed"/>
    </border>
    <border>
      <left style="dashed"/>
      <right style="medium"/>
      <top style="dashed"/>
      <bottom style="dashed"/>
    </border>
    <border>
      <left style="medium"/>
      <right style="dashed"/>
      <top style="dashed"/>
      <bottom style="medium"/>
    </border>
    <border>
      <left style="dashed"/>
      <right style="dashed"/>
      <top style="dashed"/>
      <bottom style="medium"/>
    </border>
    <border>
      <left style="dashed"/>
      <right style="medium"/>
      <top style="dashed"/>
      <bottom style="medium"/>
    </border>
    <border>
      <left style="thin"/>
      <right>
        <color indexed="63"/>
      </right>
      <top style="thin"/>
      <bottom>
        <color indexed="63"/>
      </bottom>
    </border>
    <border>
      <left style="thin"/>
      <right>
        <color indexed="63"/>
      </right>
      <top>
        <color indexed="63"/>
      </top>
      <bottom style="thin"/>
    </border>
    <border>
      <left style="dashed"/>
      <right style="thin"/>
      <top style="dashed"/>
      <bottom style="dashed"/>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dashed"/>
      <top style="medium"/>
      <bottom style="dashed"/>
    </border>
    <border>
      <left style="dashed"/>
      <right style="medium"/>
      <top style="medium"/>
      <bottom style="dashed"/>
    </border>
    <border>
      <left style="hair"/>
      <right style="medium"/>
      <top style="medium"/>
      <bottom style="hair"/>
    </border>
    <border>
      <left style="hair"/>
      <right style="thin"/>
      <top style="thin"/>
      <bottom style="hair"/>
    </border>
    <border>
      <left style="medium"/>
      <right style="medium"/>
      <top style="medium"/>
      <bottom style="hair"/>
    </border>
    <border>
      <left>
        <color indexed="63"/>
      </left>
      <right style="thin"/>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cellStyleXfs>
  <cellXfs count="762">
    <xf numFmtId="0" fontId="0" fillId="0" borderId="0" xfId="0" applyAlignment="1">
      <alignment/>
    </xf>
    <xf numFmtId="0" fontId="1" fillId="0" borderId="0" xfId="0" applyFont="1" applyBorder="1" applyAlignment="1">
      <alignment/>
    </xf>
    <xf numFmtId="0" fontId="1" fillId="0" borderId="1" xfId="0" applyFont="1" applyBorder="1" applyAlignment="1">
      <alignment horizontal="center"/>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horizontal="center" wrapText="1"/>
    </xf>
    <xf numFmtId="165" fontId="1" fillId="0" borderId="0" xfId="0" applyNumberFormat="1" applyFont="1" applyAlignment="1" applyProtection="1">
      <alignment/>
      <protection/>
    </xf>
    <xf numFmtId="0" fontId="1" fillId="0" borderId="1" xfId="0" applyFont="1" applyBorder="1" applyAlignment="1">
      <alignment/>
    </xf>
    <xf numFmtId="164" fontId="1" fillId="0" borderId="0" xfId="0" applyNumberFormat="1" applyFont="1" applyBorder="1" applyAlignment="1" applyProtection="1">
      <alignment/>
      <protection/>
    </xf>
    <xf numFmtId="0" fontId="0" fillId="0" borderId="2" xfId="0" applyBorder="1" applyAlignment="1">
      <alignment/>
    </xf>
    <xf numFmtId="164" fontId="1" fillId="0" borderId="1" xfId="0" applyNumberFormat="1" applyFont="1" applyBorder="1" applyAlignment="1" applyProtection="1">
      <alignment horizontal="left"/>
      <protection/>
    </xf>
    <xf numFmtId="0" fontId="1" fillId="0" borderId="1" xfId="0" applyFont="1" applyBorder="1" applyAlignment="1" applyProtection="1">
      <alignment horizontal="center"/>
      <protection/>
    </xf>
    <xf numFmtId="164" fontId="9" fillId="0" borderId="3" xfId="0" applyNumberFormat="1" applyFont="1" applyBorder="1" applyAlignment="1" applyProtection="1">
      <alignment horizontal="center" vertical="top"/>
      <protection/>
    </xf>
    <xf numFmtId="164" fontId="8" fillId="0" borderId="0" xfId="0" applyNumberFormat="1" applyFont="1" applyAlignment="1" applyProtection="1">
      <alignment/>
      <protection/>
    </xf>
    <xf numFmtId="0" fontId="9" fillId="0" borderId="0" xfId="0" applyFont="1" applyAlignment="1">
      <alignment/>
    </xf>
    <xf numFmtId="0" fontId="8" fillId="0" borderId="0" xfId="0" applyFont="1" applyAlignment="1">
      <alignment/>
    </xf>
    <xf numFmtId="164" fontId="10" fillId="0" borderId="0" xfId="0" applyNumberFormat="1" applyFont="1" applyAlignment="1" applyProtection="1">
      <alignment/>
      <protection/>
    </xf>
    <xf numFmtId="0" fontId="8" fillId="0" borderId="3" xfId="0" applyFont="1" applyBorder="1" applyAlignment="1" applyProtection="1">
      <alignment horizontal="center"/>
      <protection/>
    </xf>
    <xf numFmtId="164" fontId="8" fillId="0" borderId="0" xfId="0" applyNumberFormat="1" applyFont="1" applyAlignment="1" applyProtection="1">
      <alignment horizontal="left"/>
      <protection/>
    </xf>
    <xf numFmtId="0" fontId="8" fillId="0" borderId="0" xfId="0" applyFont="1" applyAlignment="1" applyProtection="1">
      <alignment horizontal="left"/>
      <protection/>
    </xf>
    <xf numFmtId="164" fontId="1" fillId="0" borderId="0" xfId="0" applyNumberFormat="1" applyFont="1" applyAlignment="1" applyProtection="1">
      <alignment/>
      <protection/>
    </xf>
    <xf numFmtId="164" fontId="1" fillId="0" borderId="0" xfId="0" applyNumberFormat="1" applyFont="1" applyAlignment="1" applyProtection="1">
      <alignment horizontal="center"/>
      <protection/>
    </xf>
    <xf numFmtId="165" fontId="10" fillId="0" borderId="0" xfId="0" applyNumberFormat="1" applyFont="1" applyAlignment="1" applyProtection="1">
      <alignment/>
      <protection/>
    </xf>
    <xf numFmtId="164" fontId="1" fillId="0" borderId="0" xfId="0" applyNumberFormat="1" applyFont="1" applyAlignment="1" applyProtection="1">
      <alignment horizontal="left"/>
      <protection/>
    </xf>
    <xf numFmtId="166" fontId="1" fillId="0" borderId="0" xfId="0" applyNumberFormat="1" applyFont="1" applyAlignment="1" applyProtection="1">
      <alignment/>
      <protection/>
    </xf>
    <xf numFmtId="0" fontId="12" fillId="0" borderId="0" xfId="0" applyFont="1" applyAlignment="1">
      <alignment/>
    </xf>
    <xf numFmtId="0" fontId="8" fillId="0" borderId="0" xfId="0" applyFont="1" applyAlignment="1">
      <alignment vertical="center"/>
    </xf>
    <xf numFmtId="0" fontId="8" fillId="0" borderId="0" xfId="0" applyFont="1" applyAlignment="1">
      <alignment horizontal="center"/>
    </xf>
    <xf numFmtId="166" fontId="8" fillId="0" borderId="0" xfId="0" applyNumberFormat="1" applyFont="1" applyAlignment="1" applyProtection="1">
      <alignment horizontal="center"/>
      <protection/>
    </xf>
    <xf numFmtId="164" fontId="8" fillId="0" borderId="0" xfId="0" applyNumberFormat="1" applyFont="1" applyAlignment="1" applyProtection="1">
      <alignment horizontal="center"/>
      <protection/>
    </xf>
    <xf numFmtId="164" fontId="10" fillId="0" borderId="0" xfId="0" applyNumberFormat="1" applyFont="1" applyAlignment="1" applyProtection="1">
      <alignment horizontal="center"/>
      <protection/>
    </xf>
    <xf numFmtId="0" fontId="8" fillId="0" borderId="0" xfId="0" applyFont="1" applyBorder="1" applyAlignment="1">
      <alignment/>
    </xf>
    <xf numFmtId="0" fontId="8" fillId="0" borderId="0" xfId="0" applyFont="1" applyBorder="1" applyAlignment="1" applyProtection="1">
      <alignment horizontal="left"/>
      <protection/>
    </xf>
    <xf numFmtId="0" fontId="10" fillId="0" borderId="0" xfId="0" applyFont="1" applyAlignment="1">
      <alignment/>
    </xf>
    <xf numFmtId="164" fontId="6" fillId="0" borderId="0" xfId="0" applyNumberFormat="1" applyFont="1" applyBorder="1" applyAlignment="1" applyProtection="1">
      <alignment/>
      <protection/>
    </xf>
    <xf numFmtId="164" fontId="9" fillId="0" borderId="0" xfId="0" applyNumberFormat="1" applyFont="1" applyBorder="1" applyAlignment="1" applyProtection="1">
      <alignment/>
      <protection/>
    </xf>
    <xf numFmtId="165" fontId="6" fillId="0" borderId="0" xfId="0" applyNumberFormat="1" applyFont="1" applyBorder="1" applyAlignment="1" applyProtection="1">
      <alignment/>
      <protection/>
    </xf>
    <xf numFmtId="165" fontId="6" fillId="0" borderId="0" xfId="0" applyNumberFormat="1" applyFont="1" applyAlignment="1" applyProtection="1">
      <alignment/>
      <protection/>
    </xf>
    <xf numFmtId="165" fontId="1" fillId="0" borderId="0" xfId="0" applyNumberFormat="1" applyFont="1" applyBorder="1" applyAlignment="1" applyProtection="1">
      <alignment/>
      <protection/>
    </xf>
    <xf numFmtId="0" fontId="8" fillId="0" borderId="0" xfId="0" applyFont="1" applyAlignment="1">
      <alignment horizontal="center" vertical="center"/>
    </xf>
    <xf numFmtId="164" fontId="8" fillId="0" borderId="0" xfId="0" applyNumberFormat="1" applyFont="1" applyAlignment="1" applyProtection="1">
      <alignment horizontal="center" vertical="center"/>
      <protection/>
    </xf>
    <xf numFmtId="164" fontId="9" fillId="0" borderId="0" xfId="0" applyNumberFormat="1" applyFont="1" applyAlignment="1" applyProtection="1">
      <alignment/>
      <protection/>
    </xf>
    <xf numFmtId="0" fontId="8" fillId="0" borderId="4" xfId="0" applyFont="1" applyBorder="1" applyAlignment="1">
      <alignment/>
    </xf>
    <xf numFmtId="164" fontId="8" fillId="0" borderId="4" xfId="0" applyNumberFormat="1" applyFont="1" applyBorder="1" applyAlignment="1" applyProtection="1">
      <alignment horizontal="left"/>
      <protection/>
    </xf>
    <xf numFmtId="164" fontId="8" fillId="0" borderId="4" xfId="0" applyNumberFormat="1" applyFont="1" applyBorder="1" applyAlignment="1" applyProtection="1">
      <alignment/>
      <protection/>
    </xf>
    <xf numFmtId="164" fontId="1" fillId="0" borderId="0" xfId="0" applyNumberFormat="1" applyFont="1" applyAlignment="1" applyProtection="1">
      <alignment horizontal="center" vertical="center"/>
      <protection/>
    </xf>
    <xf numFmtId="0" fontId="1" fillId="0" borderId="0" xfId="0" applyFont="1" applyAlignment="1">
      <alignment horizontal="center" vertical="center"/>
    </xf>
    <xf numFmtId="0" fontId="12" fillId="0" borderId="3" xfId="0" applyFont="1" applyBorder="1" applyAlignment="1" applyProtection="1">
      <alignment horizontal="center"/>
      <protection/>
    </xf>
    <xf numFmtId="0" fontId="8" fillId="0" borderId="5" xfId="0" applyFont="1" applyBorder="1" applyAlignment="1">
      <alignment/>
    </xf>
    <xf numFmtId="164" fontId="8" fillId="0" borderId="5" xfId="0" applyNumberFormat="1" applyFont="1" applyBorder="1" applyAlignment="1" applyProtection="1">
      <alignment horizontal="left"/>
      <protection/>
    </xf>
    <xf numFmtId="164" fontId="8" fillId="0" borderId="5" xfId="0" applyNumberFormat="1" applyFont="1" applyBorder="1" applyAlignment="1" applyProtection="1">
      <alignment/>
      <protection/>
    </xf>
    <xf numFmtId="0" fontId="8" fillId="0" borderId="3" xfId="0" applyFont="1" applyBorder="1" applyAlignment="1">
      <alignment horizontal="center" wrapText="1"/>
    </xf>
    <xf numFmtId="164" fontId="9" fillId="0" borderId="1" xfId="0" applyNumberFormat="1" applyFont="1" applyBorder="1" applyAlignment="1" applyProtection="1">
      <alignment horizontal="center" vertical="top" wrapText="1"/>
      <protection/>
    </xf>
    <xf numFmtId="164" fontId="1" fillId="0" borderId="0" xfId="0" applyNumberFormat="1" applyFont="1" applyAlignment="1" applyProtection="1">
      <alignment vertical="top"/>
      <protection/>
    </xf>
    <xf numFmtId="0" fontId="1" fillId="0" borderId="0" xfId="0" applyFont="1" applyAlignment="1">
      <alignment vertical="top"/>
    </xf>
    <xf numFmtId="164" fontId="8" fillId="0" borderId="0" xfId="0" applyNumberFormat="1" applyFont="1" applyFill="1" applyBorder="1" applyAlignment="1" applyProtection="1">
      <alignment horizontal="center"/>
      <protection/>
    </xf>
    <xf numFmtId="164" fontId="8" fillId="0" borderId="5" xfId="0" applyNumberFormat="1" applyFont="1" applyBorder="1" applyAlignment="1" applyProtection="1">
      <alignment horizontal="center"/>
      <protection/>
    </xf>
    <xf numFmtId="0" fontId="9" fillId="0" borderId="3" xfId="0" applyFont="1" applyBorder="1" applyAlignment="1">
      <alignment horizontal="center" vertical="top"/>
    </xf>
    <xf numFmtId="164" fontId="10" fillId="0" borderId="4" xfId="0" applyNumberFormat="1" applyFont="1" applyBorder="1" applyAlignment="1" applyProtection="1">
      <alignment horizontal="center"/>
      <protection/>
    </xf>
    <xf numFmtId="164" fontId="16" fillId="0" borderId="0" xfId="0" applyNumberFormat="1" applyFont="1" applyAlignment="1" applyProtection="1">
      <alignment/>
      <protection/>
    </xf>
    <xf numFmtId="164" fontId="12" fillId="0" borderId="0" xfId="0" applyNumberFormat="1" applyFont="1" applyAlignment="1" applyProtection="1">
      <alignment/>
      <protection/>
    </xf>
    <xf numFmtId="164" fontId="9" fillId="0" borderId="4" xfId="0" applyNumberFormat="1" applyFont="1" applyBorder="1" applyAlignment="1" applyProtection="1">
      <alignment/>
      <protection/>
    </xf>
    <xf numFmtId="0" fontId="9" fillId="0" borderId="1" xfId="0" applyFont="1" applyBorder="1" applyAlignment="1" applyProtection="1">
      <alignment horizontal="center" vertical="top" wrapText="1"/>
      <protection/>
    </xf>
    <xf numFmtId="0" fontId="1" fillId="0" borderId="0" xfId="0" applyFont="1" applyAlignment="1">
      <alignment horizontal="center" vertical="top"/>
    </xf>
    <xf numFmtId="164" fontId="1" fillId="0" borderId="0" xfId="0" applyNumberFormat="1" applyFont="1" applyAlignment="1" applyProtection="1">
      <alignment horizontal="center" vertical="top"/>
      <protection/>
    </xf>
    <xf numFmtId="0" fontId="9" fillId="0" borderId="3" xfId="0" applyFont="1" applyBorder="1" applyAlignment="1">
      <alignment horizontal="center" vertical="top" wrapText="1"/>
    </xf>
    <xf numFmtId="164" fontId="1" fillId="0" borderId="0" xfId="0" applyNumberFormat="1" applyFont="1" applyBorder="1" applyAlignment="1" applyProtection="1">
      <alignment vertical="top"/>
      <protection/>
    </xf>
    <xf numFmtId="0" fontId="8" fillId="0" borderId="0" xfId="0" applyFont="1" applyBorder="1" applyAlignment="1">
      <alignment vertical="top"/>
    </xf>
    <xf numFmtId="0" fontId="9" fillId="0" borderId="0" xfId="0" applyFont="1" applyAlignment="1">
      <alignment vertical="top"/>
    </xf>
    <xf numFmtId="0" fontId="8" fillId="0" borderId="0" xfId="0" applyFont="1" applyBorder="1" applyAlignment="1">
      <alignment horizontal="center" vertical="top"/>
    </xf>
    <xf numFmtId="165" fontId="1" fillId="0" borderId="0" xfId="0" applyNumberFormat="1" applyFont="1" applyBorder="1" applyAlignment="1" applyProtection="1">
      <alignment horizontal="center" vertical="top"/>
      <protection/>
    </xf>
    <xf numFmtId="0" fontId="12" fillId="2" borderId="3" xfId="0" applyFont="1" applyFill="1" applyBorder="1" applyAlignment="1">
      <alignment horizontal="center" vertical="top"/>
    </xf>
    <xf numFmtId="0" fontId="9" fillId="0" borderId="0" xfId="0" applyFont="1" applyAlignment="1">
      <alignment horizontal="center" vertical="top"/>
    </xf>
    <xf numFmtId="0" fontId="8" fillId="0" borderId="0" xfId="0" applyFont="1" applyAlignment="1">
      <alignment horizontal="center" vertical="top"/>
    </xf>
    <xf numFmtId="164" fontId="8" fillId="0" borderId="0" xfId="0" applyNumberFormat="1" applyFont="1" applyAlignment="1" applyProtection="1">
      <alignment horizontal="center" vertical="top"/>
      <protection/>
    </xf>
    <xf numFmtId="0" fontId="8" fillId="0" borderId="3" xfId="0" applyFont="1" applyBorder="1" applyAlignment="1" applyProtection="1">
      <alignment horizontal="center" vertical="top"/>
      <protection/>
    </xf>
    <xf numFmtId="0" fontId="12" fillId="0" borderId="3" xfId="0" applyFont="1" applyBorder="1" applyAlignment="1" applyProtection="1">
      <alignment horizontal="center" vertical="top"/>
      <protection/>
    </xf>
    <xf numFmtId="164" fontId="8" fillId="0" borderId="0" xfId="0" applyNumberFormat="1" applyFont="1" applyBorder="1" applyAlignment="1" applyProtection="1">
      <alignment horizontal="center"/>
      <protection/>
    </xf>
    <xf numFmtId="164" fontId="8" fillId="0" borderId="4" xfId="0" applyNumberFormat="1" applyFont="1" applyBorder="1" applyAlignment="1" applyProtection="1">
      <alignment horizontal="center"/>
      <protection/>
    </xf>
    <xf numFmtId="0" fontId="6" fillId="0" borderId="0" xfId="0" applyFont="1" applyAlignment="1">
      <alignment horizontal="center" vertical="top"/>
    </xf>
    <xf numFmtId="0" fontId="1" fillId="0" borderId="0" xfId="0" applyFont="1" applyBorder="1" applyAlignment="1">
      <alignment vertical="top"/>
    </xf>
    <xf numFmtId="0" fontId="10" fillId="0" borderId="1" xfId="0" applyFont="1" applyBorder="1" applyAlignment="1" applyProtection="1">
      <alignment horizontal="center" vertical="top" wrapText="1"/>
      <protection/>
    </xf>
    <xf numFmtId="0" fontId="6" fillId="0" borderId="0" xfId="0" applyFont="1" applyBorder="1" applyAlignment="1">
      <alignment horizontal="center" vertical="top"/>
    </xf>
    <xf numFmtId="164" fontId="6" fillId="0" borderId="0" xfId="0" applyNumberFormat="1" applyFont="1" applyAlignment="1" applyProtection="1">
      <alignment horizontal="center" vertical="top"/>
      <protection/>
    </xf>
    <xf numFmtId="2" fontId="8" fillId="0" borderId="0" xfId="0" applyNumberFormat="1" applyFont="1" applyAlignment="1">
      <alignment horizontal="center"/>
    </xf>
    <xf numFmtId="2" fontId="8" fillId="0" borderId="0" xfId="0" applyNumberFormat="1" applyFont="1" applyAlignment="1" applyProtection="1">
      <alignment horizontal="center"/>
      <protection/>
    </xf>
    <xf numFmtId="2" fontId="12" fillId="0" borderId="0" xfId="0" applyNumberFormat="1" applyFont="1" applyAlignment="1" applyProtection="1">
      <alignment horizontal="center"/>
      <protection/>
    </xf>
    <xf numFmtId="166" fontId="8" fillId="0" borderId="4" xfId="0" applyNumberFormat="1" applyFont="1" applyBorder="1" applyAlignment="1" applyProtection="1">
      <alignment horizontal="center"/>
      <protection/>
    </xf>
    <xf numFmtId="2" fontId="8" fillId="0" borderId="4" xfId="0" applyNumberFormat="1" applyFont="1" applyBorder="1" applyAlignment="1">
      <alignment horizontal="center"/>
    </xf>
    <xf numFmtId="2" fontId="8" fillId="0" borderId="4" xfId="0" applyNumberFormat="1" applyFont="1" applyBorder="1" applyAlignment="1" applyProtection="1">
      <alignment horizontal="center"/>
      <protection/>
    </xf>
    <xf numFmtId="2" fontId="12" fillId="0" borderId="4" xfId="0" applyNumberFormat="1" applyFont="1" applyBorder="1" applyAlignment="1" applyProtection="1">
      <alignment horizontal="center"/>
      <protection/>
    </xf>
    <xf numFmtId="166" fontId="8" fillId="0" borderId="5" xfId="0" applyNumberFormat="1" applyFont="1" applyBorder="1" applyAlignment="1" applyProtection="1">
      <alignment horizontal="center"/>
      <protection/>
    </xf>
    <xf numFmtId="2" fontId="8" fillId="0" borderId="5" xfId="0" applyNumberFormat="1" applyFont="1" applyBorder="1" applyAlignment="1" applyProtection="1">
      <alignment horizontal="center"/>
      <protection/>
    </xf>
    <xf numFmtId="2" fontId="12" fillId="0" borderId="5" xfId="0" applyNumberFormat="1" applyFont="1" applyBorder="1" applyAlignment="1" applyProtection="1">
      <alignment horizontal="center"/>
      <protection/>
    </xf>
    <xf numFmtId="2" fontId="1" fillId="0" borderId="0" xfId="0" applyNumberFormat="1" applyFont="1" applyBorder="1" applyAlignment="1" applyProtection="1">
      <alignment vertical="top"/>
      <protection/>
    </xf>
    <xf numFmtId="164" fontId="8" fillId="0" borderId="0" xfId="0" applyNumberFormat="1" applyFont="1" applyBorder="1" applyAlignment="1" applyProtection="1">
      <alignment horizontal="left" vertical="top"/>
      <protection/>
    </xf>
    <xf numFmtId="166" fontId="8" fillId="0" borderId="0" xfId="0" applyNumberFormat="1" applyFont="1" applyBorder="1" applyAlignment="1" applyProtection="1">
      <alignment vertical="top"/>
      <protection/>
    </xf>
    <xf numFmtId="164" fontId="8" fillId="0" borderId="0" xfId="0" applyNumberFormat="1" applyFont="1" applyBorder="1" applyAlignment="1" applyProtection="1">
      <alignment vertical="top"/>
      <protection/>
    </xf>
    <xf numFmtId="0" fontId="10" fillId="0" borderId="0" xfId="0" applyFont="1" applyAlignment="1">
      <alignment vertical="top"/>
    </xf>
    <xf numFmtId="164" fontId="9" fillId="0" borderId="3" xfId="0" applyNumberFormat="1" applyFont="1" applyBorder="1" applyAlignment="1" applyProtection="1">
      <alignment horizontal="center" vertical="top" wrapText="1"/>
      <protection/>
    </xf>
    <xf numFmtId="0" fontId="10" fillId="0" borderId="3" xfId="0" applyFont="1" applyBorder="1" applyAlignment="1" applyProtection="1">
      <alignment horizontal="center" vertical="top" wrapText="1"/>
      <protection/>
    </xf>
    <xf numFmtId="164" fontId="12" fillId="0" borderId="5" xfId="0" applyNumberFormat="1" applyFont="1" applyBorder="1" applyAlignment="1" applyProtection="1">
      <alignment/>
      <protection/>
    </xf>
    <xf numFmtId="164" fontId="1" fillId="0" borderId="1" xfId="0" applyNumberFormat="1" applyFont="1" applyBorder="1" applyAlignment="1" applyProtection="1">
      <alignment horizontal="center"/>
      <protection/>
    </xf>
    <xf numFmtId="0" fontId="17" fillId="0" borderId="0" xfId="0" applyFont="1" applyAlignment="1">
      <alignment/>
    </xf>
    <xf numFmtId="2" fontId="17" fillId="0" borderId="0" xfId="0" applyNumberFormat="1" applyFont="1" applyAlignment="1">
      <alignment/>
    </xf>
    <xf numFmtId="0" fontId="18" fillId="0" borderId="0" xfId="0" applyFont="1" applyAlignment="1">
      <alignment/>
    </xf>
    <xf numFmtId="0" fontId="20" fillId="0" borderId="0" xfId="0" applyFont="1" applyAlignment="1">
      <alignment vertical="top"/>
    </xf>
    <xf numFmtId="0" fontId="17" fillId="0" borderId="0" xfId="0" applyFont="1" applyAlignment="1">
      <alignment/>
    </xf>
    <xf numFmtId="164" fontId="0" fillId="0" borderId="0" xfId="0" applyNumberFormat="1" applyAlignment="1">
      <alignment/>
    </xf>
    <xf numFmtId="164" fontId="10" fillId="0" borderId="0" xfId="0" applyNumberFormat="1" applyFont="1" applyBorder="1" applyAlignment="1" applyProtection="1">
      <alignment horizontal="right"/>
      <protection/>
    </xf>
    <xf numFmtId="164" fontId="10" fillId="0" borderId="0" xfId="0" applyNumberFormat="1" applyFont="1" applyFill="1" applyBorder="1" applyAlignment="1" applyProtection="1">
      <alignment horizontal="center"/>
      <protection/>
    </xf>
    <xf numFmtId="164" fontId="10" fillId="0" borderId="0" xfId="0" applyNumberFormat="1" applyFont="1" applyBorder="1" applyAlignment="1" applyProtection="1">
      <alignment horizontal="center" wrapText="1"/>
      <protection/>
    </xf>
    <xf numFmtId="0" fontId="0" fillId="0" borderId="0" xfId="0" applyBorder="1" applyAlignment="1">
      <alignment/>
    </xf>
    <xf numFmtId="164" fontId="8" fillId="0" borderId="0" xfId="0" applyNumberFormat="1" applyFont="1" applyBorder="1" applyAlignment="1" applyProtection="1">
      <alignment/>
      <protection/>
    </xf>
    <xf numFmtId="0" fontId="1" fillId="0" borderId="0" xfId="0" applyFont="1" applyAlignment="1">
      <alignment vertical="center"/>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164" fontId="13" fillId="0" borderId="0" xfId="0" applyNumberFormat="1" applyFont="1" applyBorder="1" applyAlignment="1" applyProtection="1">
      <alignment/>
      <protection/>
    </xf>
    <xf numFmtId="0" fontId="1" fillId="0" borderId="1" xfId="0" applyFont="1" applyFill="1" applyBorder="1" applyAlignment="1">
      <alignment horizontal="center"/>
    </xf>
    <xf numFmtId="0" fontId="0" fillId="0" borderId="0" xfId="0" applyAlignment="1">
      <alignment horizontal="center"/>
    </xf>
    <xf numFmtId="0" fontId="4" fillId="0" borderId="0" xfId="0" applyFont="1" applyAlignment="1">
      <alignment/>
    </xf>
    <xf numFmtId="0" fontId="8" fillId="0" borderId="1" xfId="0" applyFont="1" applyBorder="1" applyAlignment="1">
      <alignment horizontal="left"/>
    </xf>
    <xf numFmtId="164" fontId="8" fillId="0" borderId="1" xfId="0" applyNumberFormat="1" applyFont="1" applyBorder="1" applyAlignment="1" applyProtection="1">
      <alignment horizontal="left"/>
      <protection/>
    </xf>
    <xf numFmtId="164" fontId="8" fillId="0" borderId="1" xfId="0" applyNumberFormat="1" applyFont="1" applyBorder="1" applyAlignment="1" applyProtection="1">
      <alignment horizontal="center"/>
      <protection/>
    </xf>
    <xf numFmtId="166" fontId="8" fillId="0" borderId="1" xfId="0" applyNumberFormat="1" applyFont="1" applyBorder="1" applyAlignment="1" applyProtection="1">
      <alignment horizontal="center"/>
      <protection/>
    </xf>
    <xf numFmtId="164" fontId="1" fillId="0" borderId="0" xfId="0" applyNumberFormat="1" applyFont="1" applyAlignment="1">
      <alignment/>
    </xf>
    <xf numFmtId="0" fontId="8" fillId="0" borderId="1" xfId="0" applyFont="1" applyBorder="1" applyAlignment="1" applyProtection="1">
      <alignment horizontal="center"/>
      <protection/>
    </xf>
    <xf numFmtId="1" fontId="8" fillId="0" borderId="1" xfId="0" applyNumberFormat="1" applyFont="1" applyBorder="1" applyAlignment="1">
      <alignment horizontal="center"/>
    </xf>
    <xf numFmtId="0" fontId="8" fillId="0" borderId="1" xfId="0" applyFont="1" applyBorder="1" applyAlignment="1">
      <alignment horizontal="center"/>
    </xf>
    <xf numFmtId="166" fontId="8" fillId="0" borderId="0" xfId="0" applyNumberFormat="1" applyFont="1" applyAlignment="1" applyProtection="1">
      <alignment horizontal="left"/>
      <protection/>
    </xf>
    <xf numFmtId="0" fontId="9" fillId="0" borderId="1" xfId="0" applyFont="1" applyBorder="1" applyAlignment="1">
      <alignment horizontal="center"/>
    </xf>
    <xf numFmtId="164" fontId="9" fillId="0" borderId="1" xfId="0" applyNumberFormat="1" applyFont="1" applyBorder="1" applyAlignment="1" applyProtection="1">
      <alignment horizontal="center" wrapText="1"/>
      <protection/>
    </xf>
    <xf numFmtId="0" fontId="9" fillId="0" borderId="1" xfId="0" applyFont="1" applyBorder="1" applyAlignment="1">
      <alignment horizontal="center" vertical="center" wrapText="1"/>
    </xf>
    <xf numFmtId="164" fontId="9" fillId="0" borderId="1" xfId="0" applyNumberFormat="1" applyFont="1" applyBorder="1" applyAlignment="1" applyProtection="1">
      <alignment horizontal="center"/>
      <protection/>
    </xf>
    <xf numFmtId="164" fontId="9" fillId="0" borderId="0" xfId="0" applyNumberFormat="1" applyFont="1" applyBorder="1" applyAlignment="1" applyProtection="1">
      <alignment/>
      <protection/>
    </xf>
    <xf numFmtId="0" fontId="10" fillId="0" borderId="0" xfId="0" applyNumberFormat="1" applyFont="1" applyBorder="1" applyAlignment="1" applyProtection="1">
      <alignment horizontal="left" vertical="center" wrapText="1"/>
      <protection/>
    </xf>
    <xf numFmtId="2" fontId="8" fillId="0" borderId="1" xfId="0" applyNumberFormat="1" applyFont="1" applyBorder="1" applyAlignment="1" applyProtection="1">
      <alignment horizontal="center"/>
      <protection/>
    </xf>
    <xf numFmtId="0" fontId="8" fillId="0" borderId="1" xfId="0" applyFont="1" applyBorder="1" applyAlignment="1">
      <alignment/>
    </xf>
    <xf numFmtId="164" fontId="10" fillId="0" borderId="1" xfId="0" applyNumberFormat="1" applyFont="1" applyBorder="1" applyAlignment="1" applyProtection="1">
      <alignment horizontal="center"/>
      <protection/>
    </xf>
    <xf numFmtId="164" fontId="8" fillId="0" borderId="1" xfId="0" applyNumberFormat="1" applyFont="1" applyBorder="1" applyAlignment="1" applyProtection="1">
      <alignment horizontal="center" vertical="top"/>
      <protection/>
    </xf>
    <xf numFmtId="164" fontId="8" fillId="0" borderId="1" xfId="0" applyNumberFormat="1" applyFont="1" applyBorder="1" applyAlignment="1" applyProtection="1">
      <alignment horizontal="center" vertical="top" wrapText="1"/>
      <protection/>
    </xf>
    <xf numFmtId="164" fontId="1" fillId="0" borderId="0" xfId="0" applyNumberFormat="1" applyFont="1" applyFill="1" applyBorder="1" applyAlignment="1" applyProtection="1">
      <alignment horizontal="left"/>
      <protection/>
    </xf>
    <xf numFmtId="164" fontId="8" fillId="0" borderId="1" xfId="0" applyNumberFormat="1" applyFont="1" applyBorder="1" applyAlignment="1" applyProtection="1">
      <alignment/>
      <protection/>
    </xf>
    <xf numFmtId="0" fontId="8" fillId="3" borderId="1" xfId="0" applyFont="1" applyFill="1" applyBorder="1" applyAlignment="1" applyProtection="1">
      <alignment horizontal="center" wrapText="1"/>
      <protection/>
    </xf>
    <xf numFmtId="164" fontId="8" fillId="3" borderId="1" xfId="0" applyNumberFormat="1" applyFont="1" applyFill="1" applyBorder="1" applyAlignment="1" applyProtection="1">
      <alignment horizontal="center" wrapText="1"/>
      <protection/>
    </xf>
    <xf numFmtId="164" fontId="8" fillId="3" borderId="1" xfId="0" applyNumberFormat="1" applyFont="1" applyFill="1" applyBorder="1" applyAlignment="1" applyProtection="1">
      <alignment horizontal="left" wrapText="1"/>
      <protection/>
    </xf>
    <xf numFmtId="164" fontId="9" fillId="3" borderId="1" xfId="0" applyNumberFormat="1" applyFont="1" applyFill="1" applyBorder="1" applyAlignment="1" applyProtection="1">
      <alignment horizontal="center"/>
      <protection/>
    </xf>
    <xf numFmtId="0" fontId="8" fillId="0" borderId="1" xfId="0" applyFont="1" applyBorder="1" applyAlignment="1" applyProtection="1">
      <alignment horizontal="left"/>
      <protection/>
    </xf>
    <xf numFmtId="164" fontId="12" fillId="0" borderId="1" xfId="0" applyNumberFormat="1" applyFont="1" applyBorder="1" applyAlignment="1" applyProtection="1">
      <alignment horizontal="left"/>
      <protection/>
    </xf>
    <xf numFmtId="168" fontId="24" fillId="3" borderId="1" xfId="0" applyNumberFormat="1" applyFont="1" applyFill="1" applyBorder="1" applyAlignment="1" applyProtection="1">
      <alignment horizontal="center"/>
      <protection/>
    </xf>
    <xf numFmtId="164" fontId="24" fillId="3" borderId="1" xfId="0" applyNumberFormat="1" applyFont="1" applyFill="1" applyBorder="1" applyAlignment="1" applyProtection="1">
      <alignment horizontal="center"/>
      <protection/>
    </xf>
    <xf numFmtId="168" fontId="8" fillId="3" borderId="1" xfId="0" applyNumberFormat="1" applyFont="1" applyFill="1" applyBorder="1" applyAlignment="1" applyProtection="1">
      <alignment horizontal="center"/>
      <protection/>
    </xf>
    <xf numFmtId="164" fontId="8" fillId="3" borderId="1" xfId="0" applyNumberFormat="1" applyFont="1" applyFill="1" applyBorder="1" applyAlignment="1" applyProtection="1">
      <alignment horizontal="center"/>
      <protection/>
    </xf>
    <xf numFmtId="164" fontId="10" fillId="3" borderId="1" xfId="0" applyNumberFormat="1" applyFont="1" applyFill="1" applyBorder="1" applyAlignment="1" applyProtection="1">
      <alignment horizontal="center"/>
      <protection/>
    </xf>
    <xf numFmtId="164" fontId="24" fillId="0" borderId="1" xfId="0" applyNumberFormat="1" applyFont="1" applyBorder="1" applyAlignment="1" applyProtection="1">
      <alignment horizontal="left"/>
      <protection/>
    </xf>
    <xf numFmtId="164" fontId="23" fillId="0" borderId="1" xfId="0" applyNumberFormat="1" applyFont="1" applyBorder="1" applyAlignment="1" applyProtection="1">
      <alignment horizontal="left" wrapText="1"/>
      <protection/>
    </xf>
    <xf numFmtId="164" fontId="23" fillId="0" borderId="1" xfId="0" applyNumberFormat="1" applyFont="1" applyBorder="1" applyAlignment="1" applyProtection="1">
      <alignment horizontal="center"/>
      <protection/>
    </xf>
    <xf numFmtId="164" fontId="23" fillId="3" borderId="1" xfId="0" applyNumberFormat="1" applyFont="1" applyFill="1" applyBorder="1" applyAlignment="1" applyProtection="1">
      <alignment horizontal="center"/>
      <protection/>
    </xf>
    <xf numFmtId="0" fontId="0" fillId="0" borderId="0" xfId="0" applyAlignment="1">
      <alignment horizontal="right"/>
    </xf>
    <xf numFmtId="164" fontId="19" fillId="0" borderId="1" xfId="0" applyNumberFormat="1" applyFont="1" applyBorder="1" applyAlignment="1" applyProtection="1">
      <alignment horizontal="center"/>
      <protection/>
    </xf>
    <xf numFmtId="0" fontId="8" fillId="0" borderId="1" xfId="0" applyFont="1" applyBorder="1" applyAlignment="1">
      <alignment horizontal="center" wrapText="1"/>
    </xf>
    <xf numFmtId="0" fontId="8" fillId="0" borderId="1" xfId="0" applyFont="1" applyFill="1" applyBorder="1" applyAlignment="1">
      <alignment/>
    </xf>
    <xf numFmtId="164" fontId="8" fillId="0" borderId="1" xfId="0" applyNumberFormat="1" applyFont="1" applyBorder="1" applyAlignment="1" applyProtection="1">
      <alignment horizontal="center" wrapText="1"/>
      <protection/>
    </xf>
    <xf numFmtId="164" fontId="26" fillId="0" borderId="1" xfId="0" applyNumberFormat="1" applyFont="1" applyBorder="1" applyAlignment="1" applyProtection="1">
      <alignment horizontal="center"/>
      <protection/>
    </xf>
    <xf numFmtId="0" fontId="8" fillId="0" borderId="1" xfId="0" applyFont="1" applyBorder="1" applyAlignment="1" applyProtection="1">
      <alignment horizontal="center" wrapText="1"/>
      <protection/>
    </xf>
    <xf numFmtId="165" fontId="9" fillId="0" borderId="1" xfId="0" applyNumberFormat="1" applyFont="1" applyBorder="1" applyAlignment="1" applyProtection="1">
      <alignment horizontal="center"/>
      <protection/>
    </xf>
    <xf numFmtId="49" fontId="9" fillId="0" borderId="1" xfId="0" applyNumberFormat="1" applyFont="1" applyBorder="1" applyAlignment="1">
      <alignment horizontal="center"/>
    </xf>
    <xf numFmtId="165" fontId="26" fillId="0" borderId="1" xfId="0" applyNumberFormat="1" applyFont="1" applyBorder="1" applyAlignment="1" applyProtection="1">
      <alignment horizontal="center"/>
      <protection/>
    </xf>
    <xf numFmtId="49" fontId="26" fillId="0" borderId="1" xfId="0" applyNumberFormat="1" applyFont="1" applyBorder="1" applyAlignment="1">
      <alignment horizontal="center"/>
    </xf>
    <xf numFmtId="2" fontId="26" fillId="0" borderId="1" xfId="0" applyNumberFormat="1" applyFont="1" applyBorder="1" applyAlignment="1" applyProtection="1">
      <alignment horizontal="center"/>
      <protection/>
    </xf>
    <xf numFmtId="0" fontId="9" fillId="0" borderId="1" xfId="0" applyFont="1" applyBorder="1" applyAlignment="1" applyProtection="1">
      <alignment horizontal="center"/>
      <protection/>
    </xf>
    <xf numFmtId="0" fontId="8" fillId="0" borderId="6" xfId="0" applyFont="1" applyBorder="1" applyAlignment="1" applyProtection="1">
      <alignment horizontal="left"/>
      <protection/>
    </xf>
    <xf numFmtId="0" fontId="9" fillId="0" borderId="6" xfId="0" applyFont="1" applyBorder="1" applyAlignment="1" applyProtection="1">
      <alignment horizontal="left"/>
      <protection/>
    </xf>
    <xf numFmtId="2" fontId="9" fillId="0" borderId="1" xfId="0" applyNumberFormat="1" applyFont="1" applyBorder="1" applyAlignment="1">
      <alignment horizontal="center"/>
    </xf>
    <xf numFmtId="164" fontId="10" fillId="0" borderId="0" xfId="0" applyNumberFormat="1" applyFont="1" applyBorder="1" applyAlignment="1" applyProtection="1">
      <alignment horizontal="center"/>
      <protection/>
    </xf>
    <xf numFmtId="0" fontId="10" fillId="0" borderId="0" xfId="0" applyFont="1" applyBorder="1" applyAlignment="1">
      <alignment horizontal="center" vertical="top"/>
    </xf>
    <xf numFmtId="0" fontId="9" fillId="0" borderId="1" xfId="0" applyFont="1" applyBorder="1" applyAlignment="1" applyProtection="1">
      <alignment horizontal="left"/>
      <protection/>
    </xf>
    <xf numFmtId="0" fontId="10" fillId="0" borderId="0" xfId="0" applyNumberFormat="1" applyFont="1" applyBorder="1" applyAlignment="1" applyProtection="1">
      <alignment horizontal="right" vertical="center" wrapText="1"/>
      <protection/>
    </xf>
    <xf numFmtId="164" fontId="8" fillId="0" borderId="1" xfId="0" applyNumberFormat="1" applyFont="1" applyBorder="1" applyAlignment="1" applyProtection="1">
      <alignment horizontal="center" vertical="center" wrapText="1"/>
      <protection/>
    </xf>
    <xf numFmtId="0" fontId="23" fillId="0" borderId="0" xfId="0" applyFont="1" applyAlignment="1">
      <alignment vertical="top"/>
    </xf>
    <xf numFmtId="0" fontId="8" fillId="0" borderId="1" xfId="0" applyFont="1" applyBorder="1" applyAlignment="1" applyProtection="1">
      <alignment horizontal="center" vertical="center" wrapText="1"/>
      <protection/>
    </xf>
    <xf numFmtId="0" fontId="23" fillId="0" borderId="1" xfId="0" applyFont="1" applyBorder="1" applyAlignment="1" applyProtection="1">
      <alignment horizontal="center" vertical="center" wrapText="1"/>
      <protection/>
    </xf>
    <xf numFmtId="164" fontId="19" fillId="0" borderId="1" xfId="0" applyNumberFormat="1" applyFont="1" applyBorder="1" applyAlignment="1" applyProtection="1">
      <alignment/>
      <protection/>
    </xf>
    <xf numFmtId="2" fontId="0" fillId="0" borderId="0" xfId="0" applyNumberFormat="1" applyAlignment="1">
      <alignment/>
    </xf>
    <xf numFmtId="0" fontId="8" fillId="3" borderId="1" xfId="0" applyFont="1" applyFill="1" applyBorder="1" applyAlignment="1">
      <alignment horizontal="center" vertical="top" wrapText="1"/>
    </xf>
    <xf numFmtId="0" fontId="15" fillId="0" borderId="0" xfId="0" applyFont="1" applyAlignment="1">
      <alignment horizontal="right"/>
    </xf>
    <xf numFmtId="0" fontId="30" fillId="0" borderId="0" xfId="0" applyFont="1" applyBorder="1" applyAlignment="1">
      <alignment horizontal="center"/>
    </xf>
    <xf numFmtId="9" fontId="31" fillId="0" borderId="1" xfId="0" applyNumberFormat="1" applyFont="1" applyBorder="1" applyAlignment="1">
      <alignment horizontal="left"/>
    </xf>
    <xf numFmtId="10" fontId="32" fillId="0" borderId="1" xfId="0" applyNumberFormat="1" applyFont="1" applyFill="1" applyBorder="1" applyAlignment="1" applyProtection="1">
      <alignment horizontal="left"/>
      <protection/>
    </xf>
    <xf numFmtId="0" fontId="28" fillId="0" borderId="1" xfId="0" applyFont="1" applyBorder="1" applyAlignment="1">
      <alignment horizontal="center" wrapText="1"/>
    </xf>
    <xf numFmtId="2" fontId="31" fillId="0" borderId="1" xfId="0" applyNumberFormat="1" applyFont="1" applyBorder="1" applyAlignment="1">
      <alignment horizontal="center"/>
    </xf>
    <xf numFmtId="2" fontId="32" fillId="0" borderId="1" xfId="0" applyNumberFormat="1" applyFont="1" applyBorder="1" applyAlignment="1">
      <alignment horizontal="center"/>
    </xf>
    <xf numFmtId="0" fontId="33" fillId="0" borderId="0" xfId="0" applyFont="1" applyAlignment="1">
      <alignment horizontal="center"/>
    </xf>
    <xf numFmtId="0" fontId="33" fillId="0" borderId="1" xfId="0" applyFont="1" applyBorder="1" applyAlignment="1">
      <alignment horizontal="center"/>
    </xf>
    <xf numFmtId="0" fontId="34" fillId="0" borderId="1" xfId="0" applyFont="1" applyBorder="1" applyAlignment="1">
      <alignment horizontal="center"/>
    </xf>
    <xf numFmtId="0" fontId="31" fillId="0" borderId="1" xfId="0" applyFont="1" applyBorder="1" applyAlignment="1">
      <alignment horizontal="center"/>
    </xf>
    <xf numFmtId="0" fontId="31" fillId="0" borderId="1" xfId="0" applyFont="1" applyBorder="1" applyAlignment="1">
      <alignment horizontal="left" wrapText="1"/>
    </xf>
    <xf numFmtId="0" fontId="15" fillId="0" borderId="0" xfId="0" applyFont="1" applyAlignment="1">
      <alignment/>
    </xf>
    <xf numFmtId="0" fontId="17" fillId="0" borderId="1" xfId="0" applyFont="1" applyBorder="1" applyAlignment="1">
      <alignment horizontal="center"/>
    </xf>
    <xf numFmtId="0" fontId="8" fillId="3" borderId="1" xfId="0" applyFont="1" applyFill="1" applyBorder="1" applyAlignment="1" applyProtection="1">
      <alignment horizontal="left" wrapText="1"/>
      <protection/>
    </xf>
    <xf numFmtId="164" fontId="9" fillId="3" borderId="1" xfId="0" applyNumberFormat="1" applyFont="1" applyFill="1" applyBorder="1" applyAlignment="1" applyProtection="1">
      <alignment horizontal="left"/>
      <protection/>
    </xf>
    <xf numFmtId="0" fontId="27" fillId="0" borderId="0" xfId="0" applyFont="1" applyAlignment="1">
      <alignment horizontal="right"/>
    </xf>
    <xf numFmtId="0" fontId="9" fillId="0" borderId="0" xfId="0" applyFont="1" applyAlignment="1">
      <alignment horizontal="justify"/>
    </xf>
    <xf numFmtId="0" fontId="8" fillId="0" borderId="0" xfId="0" applyFont="1" applyAlignment="1">
      <alignment horizontal="justify"/>
    </xf>
    <xf numFmtId="0" fontId="11" fillId="0" borderId="0" xfId="0" applyFont="1" applyAlignment="1">
      <alignment horizontal="center" vertical="top"/>
    </xf>
    <xf numFmtId="0" fontId="22" fillId="0" borderId="7" xfId="0" applyNumberFormat="1" applyFont="1" applyFill="1" applyBorder="1" applyAlignment="1">
      <alignment horizontal="right"/>
    </xf>
    <xf numFmtId="0" fontId="22" fillId="0" borderId="0" xfId="0" applyNumberFormat="1" applyFont="1" applyFill="1" applyAlignment="1">
      <alignment horizontal="right"/>
    </xf>
    <xf numFmtId="167" fontId="22" fillId="0" borderId="0" xfId="0" applyNumberFormat="1" applyFont="1" applyFill="1" applyAlignment="1">
      <alignment horizontal="right"/>
    </xf>
    <xf numFmtId="1" fontId="22" fillId="0" borderId="0" xfId="0" applyNumberFormat="1" applyFont="1" applyFill="1" applyAlignment="1">
      <alignment horizontal="right"/>
    </xf>
    <xf numFmtId="164" fontId="1" fillId="0" borderId="0" xfId="0" applyNumberFormat="1" applyFont="1" applyBorder="1" applyAlignment="1" applyProtection="1">
      <alignment horizontal="center"/>
      <protection/>
    </xf>
    <xf numFmtId="164" fontId="9" fillId="0" borderId="0" xfId="0" applyNumberFormat="1" applyFont="1" applyBorder="1" applyAlignment="1" applyProtection="1">
      <alignment horizontal="center" vertical="top" wrapText="1"/>
      <protection/>
    </xf>
    <xf numFmtId="164" fontId="9" fillId="0" borderId="0" xfId="0" applyNumberFormat="1" applyFont="1" applyBorder="1" applyAlignment="1" applyProtection="1">
      <alignment horizontal="center"/>
      <protection/>
    </xf>
    <xf numFmtId="0" fontId="8" fillId="0" borderId="1" xfId="21" applyFont="1" applyBorder="1" applyAlignment="1">
      <alignment horizontal="left"/>
      <protection/>
    </xf>
    <xf numFmtId="0" fontId="8" fillId="0" borderId="1" xfId="21" applyFont="1" applyBorder="1">
      <alignment/>
      <protection/>
    </xf>
    <xf numFmtId="164" fontId="10" fillId="0" borderId="0" xfId="0" applyNumberFormat="1" applyFont="1" applyBorder="1" applyAlignment="1" applyProtection="1">
      <alignment/>
      <protection/>
    </xf>
    <xf numFmtId="0" fontId="29" fillId="0" borderId="1" xfId="0" applyFont="1" applyBorder="1" applyAlignment="1">
      <alignment/>
    </xf>
    <xf numFmtId="2" fontId="36" fillId="3" borderId="1" xfId="23" applyNumberFormat="1" applyFont="1" applyFill="1" applyBorder="1" applyAlignment="1" applyProtection="1">
      <alignment horizontal="center" wrapText="1"/>
      <protection/>
    </xf>
    <xf numFmtId="2" fontId="36" fillId="3" borderId="1" xfId="23" applyNumberFormat="1" applyFont="1" applyFill="1" applyBorder="1" applyAlignment="1">
      <alignment horizontal="center"/>
      <protection/>
    </xf>
    <xf numFmtId="2" fontId="37" fillId="3" borderId="1" xfId="23" applyNumberFormat="1" applyFont="1" applyFill="1" applyBorder="1" applyAlignment="1" applyProtection="1">
      <alignment horizontal="center" wrapText="1"/>
      <protection/>
    </xf>
    <xf numFmtId="0" fontId="29" fillId="0" borderId="1" xfId="21" applyFont="1" applyBorder="1" applyAlignment="1">
      <alignment horizontal="left"/>
      <protection/>
    </xf>
    <xf numFmtId="0" fontId="29" fillId="0" borderId="1" xfId="21" applyFont="1" applyBorder="1">
      <alignment/>
      <protection/>
    </xf>
    <xf numFmtId="164" fontId="40" fillId="0" borderId="0" xfId="0" applyNumberFormat="1" applyFont="1" applyAlignment="1" applyProtection="1">
      <alignment/>
      <protection/>
    </xf>
    <xf numFmtId="172" fontId="8" fillId="0" borderId="1" xfId="15" applyNumberFormat="1" applyFont="1" applyBorder="1" applyAlignment="1" applyProtection="1">
      <alignment horizontal="center"/>
      <protection/>
    </xf>
    <xf numFmtId="172" fontId="9" fillId="0" borderId="1" xfId="15" applyNumberFormat="1" applyFont="1" applyBorder="1" applyAlignment="1" applyProtection="1">
      <alignment horizontal="center"/>
      <protection/>
    </xf>
    <xf numFmtId="164" fontId="8" fillId="3" borderId="6" xfId="0" applyNumberFormat="1" applyFont="1" applyFill="1" applyBorder="1" applyAlignment="1" applyProtection="1">
      <alignment horizontal="center"/>
      <protection/>
    </xf>
    <xf numFmtId="164" fontId="24" fillId="3" borderId="8" xfId="0" applyNumberFormat="1" applyFont="1" applyFill="1" applyBorder="1" applyAlignment="1" applyProtection="1">
      <alignment horizontal="center"/>
      <protection/>
    </xf>
    <xf numFmtId="164" fontId="24" fillId="3" borderId="9" xfId="0" applyNumberFormat="1" applyFont="1" applyFill="1" applyBorder="1" applyAlignment="1" applyProtection="1">
      <alignment horizontal="center"/>
      <protection/>
    </xf>
    <xf numFmtId="164" fontId="41" fillId="3" borderId="10" xfId="0" applyNumberFormat="1" applyFont="1" applyFill="1" applyBorder="1" applyAlignment="1" applyProtection="1">
      <alignment horizontal="center"/>
      <protection/>
    </xf>
    <xf numFmtId="164" fontId="35" fillId="3" borderId="10" xfId="0" applyNumberFormat="1" applyFont="1" applyFill="1" applyBorder="1" applyAlignment="1" applyProtection="1">
      <alignment horizontal="center"/>
      <protection/>
    </xf>
    <xf numFmtId="164" fontId="25" fillId="3" borderId="10" xfId="0" applyNumberFormat="1" applyFont="1" applyFill="1" applyBorder="1" applyAlignment="1" applyProtection="1">
      <alignment horizontal="center"/>
      <protection/>
    </xf>
    <xf numFmtId="0" fontId="42" fillId="3" borderId="0" xfId="0" applyFont="1" applyFill="1" applyAlignment="1">
      <alignment/>
    </xf>
    <xf numFmtId="2" fontId="43" fillId="0" borderId="0" xfId="0" applyNumberFormat="1" applyFont="1" applyAlignment="1">
      <alignment/>
    </xf>
    <xf numFmtId="2" fontId="17" fillId="0" borderId="11" xfId="0" applyNumberFormat="1" applyFont="1" applyBorder="1" applyAlignment="1">
      <alignment/>
    </xf>
    <xf numFmtId="2" fontId="44" fillId="0" borderId="0" xfId="0" applyNumberFormat="1" applyFont="1" applyAlignment="1">
      <alignment/>
    </xf>
    <xf numFmtId="2" fontId="44" fillId="0" borderId="2" xfId="0" applyNumberFormat="1" applyFont="1" applyBorder="1" applyAlignment="1">
      <alignment/>
    </xf>
    <xf numFmtId="0" fontId="1" fillId="2" borderId="0" xfId="0" applyFont="1" applyFill="1" applyAlignment="1">
      <alignment horizontal="left"/>
    </xf>
    <xf numFmtId="0" fontId="1" fillId="3" borderId="0" xfId="0" applyFont="1" applyFill="1" applyAlignment="1">
      <alignment horizontal="right"/>
    </xf>
    <xf numFmtId="0" fontId="0" fillId="2" borderId="0" xfId="0" applyFill="1" applyAlignment="1">
      <alignment/>
    </xf>
    <xf numFmtId="0" fontId="47" fillId="4" borderId="0" xfId="0" applyNumberFormat="1" applyFont="1" applyFill="1" applyBorder="1" applyAlignment="1" applyProtection="1">
      <alignment horizontal="left" vertical="center" wrapText="1"/>
      <protection/>
    </xf>
    <xf numFmtId="164" fontId="9" fillId="0" borderId="1" xfId="0" applyNumberFormat="1" applyFont="1" applyBorder="1" applyAlignment="1" applyProtection="1">
      <alignment horizontal="left"/>
      <protection/>
    </xf>
    <xf numFmtId="0" fontId="0" fillId="0" borderId="0" xfId="0" applyFill="1" applyAlignment="1">
      <alignment/>
    </xf>
    <xf numFmtId="0" fontId="50" fillId="0" borderId="0" xfId="0" applyFont="1" applyBorder="1" applyAlignment="1">
      <alignment/>
    </xf>
    <xf numFmtId="0" fontId="29" fillId="0" borderId="0" xfId="0" applyFont="1" applyBorder="1" applyAlignment="1">
      <alignment/>
    </xf>
    <xf numFmtId="0" fontId="44" fillId="0" borderId="0" xfId="0" applyFont="1" applyFill="1" applyAlignment="1">
      <alignment/>
    </xf>
    <xf numFmtId="0" fontId="8" fillId="0" borderId="4" xfId="0" applyFont="1" applyBorder="1" applyAlignment="1">
      <alignment horizontal="right" wrapText="1"/>
    </xf>
    <xf numFmtId="164" fontId="27" fillId="0" borderId="0" xfId="0" applyNumberFormat="1" applyFont="1" applyBorder="1" applyAlignment="1" applyProtection="1">
      <alignment horizontal="right" vertical="center"/>
      <protection/>
    </xf>
    <xf numFmtId="0" fontId="26" fillId="0" borderId="0" xfId="0" applyFont="1" applyAlignment="1">
      <alignment horizontal="left" wrapText="1"/>
    </xf>
    <xf numFmtId="0" fontId="25" fillId="0" borderId="0" xfId="0" applyFont="1" applyBorder="1" applyAlignment="1" applyProtection="1">
      <alignment horizontal="center"/>
      <protection/>
    </xf>
    <xf numFmtId="2" fontId="8" fillId="0" borderId="1" xfId="0" applyNumberFormat="1" applyFont="1" applyBorder="1" applyAlignment="1">
      <alignment/>
    </xf>
    <xf numFmtId="43" fontId="9" fillId="0" borderId="1" xfId="15" applyNumberFormat="1" applyFont="1" applyBorder="1" applyAlignment="1" applyProtection="1">
      <alignment horizontal="center"/>
      <protection/>
    </xf>
    <xf numFmtId="43" fontId="49" fillId="0" borderId="1" xfId="15" applyNumberFormat="1" applyFont="1" applyBorder="1" applyAlignment="1" applyProtection="1">
      <alignment horizontal="center"/>
      <protection/>
    </xf>
    <xf numFmtId="164" fontId="9" fillId="3" borderId="1" xfId="0" applyNumberFormat="1" applyFont="1" applyFill="1" applyBorder="1" applyAlignment="1" applyProtection="1">
      <alignment horizontal="center" vertical="top" wrapText="1"/>
      <protection/>
    </xf>
    <xf numFmtId="0" fontId="9" fillId="0" borderId="1" xfId="0" applyFont="1" applyBorder="1" applyAlignment="1">
      <alignment/>
    </xf>
    <xf numFmtId="164" fontId="19" fillId="3" borderId="1" xfId="0" applyNumberFormat="1" applyFont="1" applyFill="1" applyBorder="1" applyAlignment="1" applyProtection="1">
      <alignment horizontal="center"/>
      <protection/>
    </xf>
    <xf numFmtId="0" fontId="8" fillId="0" borderId="0" xfId="0" applyFont="1" applyBorder="1" applyAlignment="1">
      <alignment horizontal="right" wrapText="1"/>
    </xf>
    <xf numFmtId="165" fontId="26" fillId="0" borderId="0" xfId="0" applyNumberFormat="1" applyFont="1" applyBorder="1" applyAlignment="1" applyProtection="1">
      <alignment horizontal="center" wrapText="1"/>
      <protection/>
    </xf>
    <xf numFmtId="49" fontId="26" fillId="0" borderId="0" xfId="0" applyNumberFormat="1" applyFont="1" applyBorder="1" applyAlignment="1">
      <alignment horizontal="center"/>
    </xf>
    <xf numFmtId="2" fontId="26" fillId="0" borderId="0" xfId="0" applyNumberFormat="1" applyFont="1" applyBorder="1" applyAlignment="1" applyProtection="1">
      <alignment horizontal="center"/>
      <protection/>
    </xf>
    <xf numFmtId="165" fontId="26" fillId="0" borderId="0" xfId="0" applyNumberFormat="1" applyFont="1" applyBorder="1" applyAlignment="1" applyProtection="1">
      <alignment horizontal="center"/>
      <protection/>
    </xf>
    <xf numFmtId="164" fontId="26" fillId="0" borderId="0" xfId="0" applyNumberFormat="1" applyFont="1" applyBorder="1" applyAlignment="1" applyProtection="1">
      <alignment horizontal="center"/>
      <protection/>
    </xf>
    <xf numFmtId="165" fontId="26" fillId="0" borderId="0" xfId="0" applyNumberFormat="1" applyFont="1" applyBorder="1" applyAlignment="1" applyProtection="1">
      <alignment horizontal="left"/>
      <protection/>
    </xf>
    <xf numFmtId="165" fontId="9" fillId="0" borderId="0" xfId="0" applyNumberFormat="1" applyFont="1" applyBorder="1" applyAlignment="1" applyProtection="1">
      <alignment horizontal="center"/>
      <protection/>
    </xf>
    <xf numFmtId="49" fontId="9" fillId="0" borderId="0" xfId="0" applyNumberFormat="1" applyFont="1" applyBorder="1" applyAlignment="1">
      <alignment horizontal="center"/>
    </xf>
    <xf numFmtId="2" fontId="9" fillId="0" borderId="0" xfId="0" applyNumberFormat="1" applyFont="1" applyBorder="1" applyAlignment="1">
      <alignment horizontal="center"/>
    </xf>
    <xf numFmtId="0" fontId="5" fillId="0" borderId="0" xfId="0" applyFont="1" applyBorder="1" applyAlignment="1">
      <alignment horizontal="center"/>
    </xf>
    <xf numFmtId="0" fontId="34" fillId="5" borderId="1" xfId="0" applyFont="1" applyFill="1" applyBorder="1" applyAlignment="1">
      <alignment horizontal="center"/>
    </xf>
    <xf numFmtId="0" fontId="31" fillId="5" borderId="1" xfId="0" applyFont="1" applyFill="1" applyBorder="1" applyAlignment="1">
      <alignment horizontal="left" wrapText="1"/>
    </xf>
    <xf numFmtId="2" fontId="31" fillId="5" borderId="1" xfId="0" applyNumberFormat="1" applyFont="1" applyFill="1" applyBorder="1" applyAlignment="1">
      <alignment horizontal="center"/>
    </xf>
    <xf numFmtId="9" fontId="31" fillId="5" borderId="1" xfId="0" applyNumberFormat="1" applyFont="1" applyFill="1" applyBorder="1" applyAlignment="1">
      <alignment horizontal="left"/>
    </xf>
    <xf numFmtId="0" fontId="33" fillId="5" borderId="1" xfId="0" applyFont="1" applyFill="1" applyBorder="1" applyAlignment="1">
      <alignment horizontal="center"/>
    </xf>
    <xf numFmtId="10" fontId="32" fillId="5" borderId="1" xfId="0" applyNumberFormat="1" applyFont="1" applyFill="1" applyBorder="1" applyAlignment="1" applyProtection="1">
      <alignment horizontal="left"/>
      <protection/>
    </xf>
    <xf numFmtId="0" fontId="31" fillId="5" borderId="1" xfId="0" applyFont="1" applyFill="1" applyBorder="1" applyAlignment="1">
      <alignment horizontal="center"/>
    </xf>
    <xf numFmtId="2" fontId="46" fillId="5" borderId="1" xfId="0" applyNumberFormat="1" applyFont="1" applyFill="1" applyBorder="1" applyAlignment="1">
      <alignment/>
    </xf>
    <xf numFmtId="164" fontId="53" fillId="0" borderId="1" xfId="0" applyNumberFormat="1" applyFont="1" applyBorder="1" applyAlignment="1" applyProtection="1">
      <alignment horizontal="center"/>
      <protection/>
    </xf>
    <xf numFmtId="164" fontId="56" fillId="0" borderId="1" xfId="0" applyNumberFormat="1" applyFont="1" applyBorder="1" applyAlignment="1" applyProtection="1">
      <alignment horizontal="center"/>
      <protection/>
    </xf>
    <xf numFmtId="164" fontId="24" fillId="3" borderId="1" xfId="0" applyNumberFormat="1" applyFont="1" applyFill="1" applyBorder="1" applyAlignment="1" applyProtection="1">
      <alignment horizontal="right"/>
      <protection/>
    </xf>
    <xf numFmtId="0" fontId="9" fillId="0" borderId="0" xfId="0" applyFont="1" applyAlignment="1">
      <alignment horizontal="right"/>
    </xf>
    <xf numFmtId="1" fontId="59" fillId="0" borderId="0" xfId="0" applyNumberFormat="1" applyFont="1" applyAlignment="1">
      <alignment/>
    </xf>
    <xf numFmtId="0" fontId="1" fillId="0" borderId="8" xfId="0" applyFont="1" applyBorder="1" applyAlignment="1">
      <alignment/>
    </xf>
    <xf numFmtId="0" fontId="1" fillId="0" borderId="8" xfId="0" applyFont="1" applyBorder="1" applyAlignment="1" applyProtection="1">
      <alignment horizontal="center" vertical="center" wrapText="1"/>
      <protection/>
    </xf>
    <xf numFmtId="0" fontId="1" fillId="0" borderId="8" xfId="0" applyFont="1" applyBorder="1" applyAlignment="1" applyProtection="1">
      <alignment horizontal="center" vertical="center"/>
      <protection/>
    </xf>
    <xf numFmtId="0" fontId="8" fillId="0" borderId="8" xfId="0" applyFont="1" applyBorder="1" applyAlignment="1" applyProtection="1">
      <alignment horizontal="center" vertical="center"/>
      <protection/>
    </xf>
    <xf numFmtId="164" fontId="1" fillId="0" borderId="1" xfId="0" applyNumberFormat="1" applyFont="1" applyFill="1" applyBorder="1" applyAlignment="1" applyProtection="1">
      <alignment horizontal="left"/>
      <protection/>
    </xf>
    <xf numFmtId="1" fontId="59" fillId="0" borderId="1" xfId="0" applyNumberFormat="1" applyFont="1" applyFill="1" applyBorder="1" applyAlignment="1">
      <alignment/>
    </xf>
    <xf numFmtId="166" fontId="8" fillId="0" borderId="1" xfId="0" applyNumberFormat="1" applyFont="1" applyFill="1" applyBorder="1" applyAlignment="1" applyProtection="1">
      <alignment horizontal="center"/>
      <protection/>
    </xf>
    <xf numFmtId="0" fontId="1" fillId="0" borderId="1" xfId="0" applyFont="1" applyFill="1" applyBorder="1" applyAlignment="1">
      <alignment/>
    </xf>
    <xf numFmtId="0" fontId="48" fillId="0" borderId="1" xfId="0" applyFont="1" applyFill="1" applyBorder="1" applyAlignment="1" applyProtection="1">
      <alignment horizontal="left"/>
      <protection/>
    </xf>
    <xf numFmtId="1" fontId="17" fillId="0" borderId="1" xfId="0" applyNumberFormat="1" applyFont="1" applyFill="1" applyBorder="1" applyAlignment="1">
      <alignment/>
    </xf>
    <xf numFmtId="164" fontId="60" fillId="0" borderId="0" xfId="0" applyNumberFormat="1" applyFont="1" applyAlignment="1" applyProtection="1">
      <alignment horizontal="center"/>
      <protection/>
    </xf>
    <xf numFmtId="0" fontId="61" fillId="0" borderId="0" xfId="0" applyFont="1" applyAlignment="1">
      <alignment/>
    </xf>
    <xf numFmtId="164" fontId="61" fillId="0" borderId="0" xfId="0" applyNumberFormat="1" applyFont="1" applyAlignment="1" applyProtection="1">
      <alignment/>
      <protection/>
    </xf>
    <xf numFmtId="164" fontId="62" fillId="0" borderId="0" xfId="0" applyNumberFormat="1" applyFont="1" applyAlignment="1" applyProtection="1">
      <alignment/>
      <protection/>
    </xf>
    <xf numFmtId="0" fontId="61" fillId="0" borderId="0" xfId="0" applyFont="1" applyAlignment="1">
      <alignment horizontal="center" vertical="center"/>
    </xf>
    <xf numFmtId="0" fontId="61" fillId="0" borderId="0" xfId="0" applyFont="1" applyAlignment="1">
      <alignment horizontal="center"/>
    </xf>
    <xf numFmtId="2" fontId="29" fillId="3" borderId="1" xfId="23" applyNumberFormat="1" applyFont="1" applyFill="1" applyBorder="1" applyAlignment="1">
      <alignment horizontal="center"/>
      <protection/>
    </xf>
    <xf numFmtId="2" fontId="29" fillId="3" borderId="1" xfId="23" applyNumberFormat="1" applyFont="1" applyFill="1" applyBorder="1" applyAlignment="1" applyProtection="1">
      <alignment horizontal="center" wrapText="1"/>
      <protection/>
    </xf>
    <xf numFmtId="2" fontId="8" fillId="0" borderId="1" xfId="0" applyNumberFormat="1" applyFont="1" applyBorder="1" applyAlignment="1" applyProtection="1">
      <alignment horizontal="right"/>
      <protection/>
    </xf>
    <xf numFmtId="164" fontId="63" fillId="0" borderId="0" xfId="0" applyNumberFormat="1" applyFont="1" applyAlignment="1" applyProtection="1">
      <alignment/>
      <protection/>
    </xf>
    <xf numFmtId="164" fontId="63" fillId="0" borderId="0" xfId="0" applyNumberFormat="1" applyFont="1" applyBorder="1" applyAlignment="1" applyProtection="1">
      <alignment/>
      <protection/>
    </xf>
    <xf numFmtId="2" fontId="64" fillId="0" borderId="1" xfId="22" applyNumberFormat="1" applyFont="1" applyBorder="1" applyAlignment="1" applyProtection="1">
      <alignment horizontal="right"/>
      <protection/>
    </xf>
    <xf numFmtId="2" fontId="64" fillId="0" borderId="1" xfId="22" applyNumberFormat="1" applyFont="1" applyBorder="1" applyAlignment="1">
      <alignment horizontal="right"/>
      <protection/>
    </xf>
    <xf numFmtId="0" fontId="39" fillId="3" borderId="0" xfId="0" applyFont="1" applyFill="1" applyAlignment="1">
      <alignment horizontal="right"/>
    </xf>
    <xf numFmtId="166" fontId="10" fillId="0" borderId="1" xfId="0" applyNumberFormat="1" applyFont="1" applyFill="1" applyBorder="1" applyAlignment="1" applyProtection="1">
      <alignment horizontal="center"/>
      <protection/>
    </xf>
    <xf numFmtId="0" fontId="44" fillId="0" borderId="1" xfId="0" applyFont="1" applyBorder="1" applyAlignment="1">
      <alignment horizontal="center"/>
    </xf>
    <xf numFmtId="168" fontId="65" fillId="3" borderId="1" xfId="0" applyNumberFormat="1" applyFont="1" applyFill="1" applyBorder="1" applyAlignment="1" applyProtection="1">
      <alignment horizontal="center"/>
      <protection/>
    </xf>
    <xf numFmtId="164" fontId="65" fillId="3" borderId="1" xfId="0" applyNumberFormat="1" applyFont="1" applyFill="1" applyBorder="1" applyAlignment="1" applyProtection="1">
      <alignment horizontal="center"/>
      <protection/>
    </xf>
    <xf numFmtId="164" fontId="66" fillId="3" borderId="1" xfId="0" applyNumberFormat="1" applyFont="1" applyFill="1" applyBorder="1" applyAlignment="1" applyProtection="1">
      <alignment horizontal="center"/>
      <protection/>
    </xf>
    <xf numFmtId="164" fontId="46" fillId="3" borderId="1" xfId="0" applyNumberFormat="1" applyFont="1" applyFill="1" applyBorder="1" applyAlignment="1" applyProtection="1">
      <alignment horizontal="center"/>
      <protection/>
    </xf>
    <xf numFmtId="164" fontId="67" fillId="3" borderId="1" xfId="0" applyNumberFormat="1" applyFont="1" applyFill="1" applyBorder="1" applyAlignment="1" applyProtection="1">
      <alignment horizontal="center"/>
      <protection/>
    </xf>
    <xf numFmtId="164" fontId="68" fillId="3" borderId="8" xfId="0" applyNumberFormat="1" applyFont="1" applyFill="1" applyBorder="1" applyAlignment="1" applyProtection="1">
      <alignment horizontal="center"/>
      <protection/>
    </xf>
    <xf numFmtId="164" fontId="67" fillId="3" borderId="6" xfId="0" applyNumberFormat="1" applyFont="1" applyFill="1" applyBorder="1" applyAlignment="1" applyProtection="1">
      <alignment horizontal="center"/>
      <protection/>
    </xf>
    <xf numFmtId="164" fontId="67" fillId="3" borderId="10" xfId="0" applyNumberFormat="1" applyFont="1" applyFill="1" applyBorder="1" applyAlignment="1" applyProtection="1">
      <alignment horizontal="center"/>
      <protection/>
    </xf>
    <xf numFmtId="164" fontId="65" fillId="3" borderId="9" xfId="0" applyNumberFormat="1" applyFont="1" applyFill="1" applyBorder="1" applyAlignment="1" applyProtection="1">
      <alignment horizontal="center"/>
      <protection/>
    </xf>
    <xf numFmtId="164" fontId="65" fillId="3" borderId="8" xfId="0" applyNumberFormat="1" applyFont="1" applyFill="1" applyBorder="1" applyAlignment="1" applyProtection="1">
      <alignment horizontal="center"/>
      <protection/>
    </xf>
    <xf numFmtId="164" fontId="69" fillId="3" borderId="10" xfId="0" applyNumberFormat="1" applyFont="1" applyFill="1" applyBorder="1" applyAlignment="1" applyProtection="1">
      <alignment horizontal="center"/>
      <protection/>
    </xf>
    <xf numFmtId="168" fontId="67" fillId="3" borderId="1" xfId="0" applyNumberFormat="1" applyFont="1" applyFill="1" applyBorder="1" applyAlignment="1" applyProtection="1">
      <alignment horizontal="center"/>
      <protection/>
    </xf>
    <xf numFmtId="164" fontId="19" fillId="3" borderId="1" xfId="0" applyNumberFormat="1" applyFont="1" applyFill="1" applyBorder="1" applyAlignment="1">
      <alignment horizontal="center"/>
    </xf>
    <xf numFmtId="169" fontId="23" fillId="3" borderId="1" xfId="0" applyNumberFormat="1" applyFont="1" applyFill="1" applyBorder="1" applyAlignment="1" applyProtection="1">
      <alignment horizontal="center"/>
      <protection/>
    </xf>
    <xf numFmtId="164" fontId="52" fillId="3" borderId="1" xfId="0" applyNumberFormat="1" applyFont="1" applyFill="1" applyBorder="1" applyAlignment="1" applyProtection="1">
      <alignment horizontal="center"/>
      <protection/>
    </xf>
    <xf numFmtId="164" fontId="52" fillId="3" borderId="9" xfId="0" applyNumberFormat="1" applyFont="1" applyFill="1" applyBorder="1" applyAlignment="1" applyProtection="1">
      <alignment horizontal="center"/>
      <protection/>
    </xf>
    <xf numFmtId="164" fontId="52" fillId="3" borderId="12" xfId="0" applyNumberFormat="1" applyFont="1" applyFill="1" applyBorder="1" applyAlignment="1" applyProtection="1">
      <alignment horizontal="center"/>
      <protection/>
    </xf>
    <xf numFmtId="164" fontId="19" fillId="3" borderId="6" xfId="0" applyNumberFormat="1" applyFont="1" applyFill="1" applyBorder="1" applyAlignment="1" applyProtection="1">
      <alignment horizontal="center"/>
      <protection/>
    </xf>
    <xf numFmtId="164" fontId="19" fillId="3" borderId="9" xfId="0" applyNumberFormat="1" applyFont="1" applyFill="1" applyBorder="1" applyAlignment="1" applyProtection="1">
      <alignment horizontal="center"/>
      <protection/>
    </xf>
    <xf numFmtId="164" fontId="19" fillId="3" borderId="8" xfId="0" applyNumberFormat="1" applyFont="1" applyFill="1" applyBorder="1" applyAlignment="1" applyProtection="1">
      <alignment horizontal="center"/>
      <protection/>
    </xf>
    <xf numFmtId="164" fontId="52" fillId="3" borderId="6" xfId="0" applyNumberFormat="1" applyFont="1" applyFill="1" applyBorder="1" applyAlignment="1" applyProtection="1">
      <alignment horizontal="center"/>
      <protection/>
    </xf>
    <xf numFmtId="164" fontId="52" fillId="3" borderId="8" xfId="0" applyNumberFormat="1" applyFont="1" applyFill="1" applyBorder="1" applyAlignment="1" applyProtection="1">
      <alignment horizontal="center"/>
      <protection/>
    </xf>
    <xf numFmtId="164" fontId="55" fillId="3" borderId="10" xfId="0" applyNumberFormat="1" applyFont="1" applyFill="1" applyBorder="1" applyAlignment="1" applyProtection="1">
      <alignment horizontal="center"/>
      <protection/>
    </xf>
    <xf numFmtId="164" fontId="23" fillId="0" borderId="1" xfId="0" applyNumberFormat="1" applyFont="1" applyBorder="1" applyAlignment="1" applyProtection="1">
      <alignment horizontal="right"/>
      <protection/>
    </xf>
    <xf numFmtId="0" fontId="8" fillId="0" borderId="1" xfId="0" applyFont="1" applyBorder="1" applyAlignment="1">
      <alignment horizontal="center" vertical="top"/>
    </xf>
    <xf numFmtId="164" fontId="8" fillId="0" borderId="1" xfId="0" applyNumberFormat="1" applyFont="1" applyBorder="1" applyAlignment="1" applyProtection="1">
      <alignment horizontal="center" vertical="center"/>
      <protection/>
    </xf>
    <xf numFmtId="0" fontId="8" fillId="0" borderId="1" xfId="0" applyFont="1" applyBorder="1" applyAlignment="1">
      <alignment horizontal="center" vertical="center" wrapText="1"/>
    </xf>
    <xf numFmtId="164" fontId="10" fillId="0" borderId="1" xfId="0" applyNumberFormat="1" applyFont="1" applyBorder="1" applyAlignment="1" applyProtection="1">
      <alignment horizontal="center" vertical="center" wrapText="1"/>
      <protection/>
    </xf>
    <xf numFmtId="164" fontId="19" fillId="0" borderId="1" xfId="0" applyNumberFormat="1" applyFont="1" applyBorder="1" applyAlignment="1" applyProtection="1">
      <alignment horizontal="center" vertical="top"/>
      <protection/>
    </xf>
    <xf numFmtId="164" fontId="8" fillId="3" borderId="1" xfId="0" applyNumberFormat="1" applyFont="1" applyFill="1" applyBorder="1" applyAlignment="1" applyProtection="1">
      <alignment horizontal="center" vertical="top" wrapText="1"/>
      <protection/>
    </xf>
    <xf numFmtId="164" fontId="9" fillId="3" borderId="1" xfId="0" applyNumberFormat="1" applyFont="1" applyFill="1" applyBorder="1" applyAlignment="1" applyProtection="1">
      <alignment horizontal="center" vertical="top"/>
      <protection/>
    </xf>
    <xf numFmtId="164" fontId="23" fillId="0" borderId="1" xfId="0" applyNumberFormat="1" applyFont="1" applyBorder="1" applyAlignment="1" applyProtection="1">
      <alignment horizontal="center" vertical="top" wrapText="1"/>
      <protection/>
    </xf>
    <xf numFmtId="0" fontId="45" fillId="0" borderId="0" xfId="0" applyFont="1" applyFill="1" applyAlignment="1">
      <alignment horizontal="center" vertical="top"/>
    </xf>
    <xf numFmtId="0" fontId="0" fillId="0" borderId="0" xfId="0" applyAlignment="1">
      <alignment horizontal="center" vertical="top"/>
    </xf>
    <xf numFmtId="0" fontId="70" fillId="0" borderId="1" xfId="0" applyFont="1" applyBorder="1" applyAlignment="1" applyProtection="1">
      <alignment horizontal="center"/>
      <protection/>
    </xf>
    <xf numFmtId="0" fontId="70" fillId="3" borderId="1" xfId="0" applyFont="1" applyFill="1" applyBorder="1" applyAlignment="1" applyProtection="1">
      <alignment horizontal="center"/>
      <protection/>
    </xf>
    <xf numFmtId="0" fontId="71" fillId="0" borderId="0" xfId="0" applyFont="1" applyFill="1" applyAlignment="1">
      <alignment/>
    </xf>
    <xf numFmtId="0" fontId="71" fillId="0" borderId="0" xfId="0" applyFont="1" applyAlignment="1">
      <alignment/>
    </xf>
    <xf numFmtId="0" fontId="72" fillId="0" borderId="1" xfId="0" applyFont="1" applyBorder="1" applyAlignment="1" applyProtection="1">
      <alignment horizontal="center"/>
      <protection/>
    </xf>
    <xf numFmtId="0" fontId="70" fillId="0" borderId="1" xfId="0" applyFont="1" applyBorder="1" applyAlignment="1">
      <alignment horizontal="center" vertical="top" wrapText="1"/>
    </xf>
    <xf numFmtId="0" fontId="73" fillId="0" borderId="1" xfId="0" applyFont="1" applyBorder="1" applyAlignment="1" applyProtection="1">
      <alignment horizontal="center" vertical="top"/>
      <protection/>
    </xf>
    <xf numFmtId="0" fontId="70" fillId="0" borderId="1" xfId="0" applyFont="1" applyBorder="1" applyAlignment="1" applyProtection="1">
      <alignment horizontal="center" vertical="top"/>
      <protection/>
    </xf>
    <xf numFmtId="164" fontId="70" fillId="0" borderId="0" xfId="0" applyNumberFormat="1" applyFont="1" applyAlignment="1" applyProtection="1">
      <alignment horizontal="center" vertical="top"/>
      <protection/>
    </xf>
    <xf numFmtId="0" fontId="48" fillId="0" borderId="0" xfId="0" applyFont="1" applyAlignment="1">
      <alignment/>
    </xf>
    <xf numFmtId="0" fontId="1" fillId="0" borderId="0" xfId="0" applyFont="1" applyAlignment="1">
      <alignment/>
    </xf>
    <xf numFmtId="164" fontId="74" fillId="0" borderId="1" xfId="0" applyNumberFormat="1" applyFont="1" applyBorder="1" applyAlignment="1" applyProtection="1">
      <alignment horizontal="center"/>
      <protection/>
    </xf>
    <xf numFmtId="164" fontId="75" fillId="0" borderId="1" xfId="0" applyNumberFormat="1" applyFont="1" applyBorder="1" applyAlignment="1" applyProtection="1">
      <alignment horizontal="center"/>
      <protection/>
    </xf>
    <xf numFmtId="164" fontId="74" fillId="0" borderId="1" xfId="0" applyNumberFormat="1" applyFont="1" applyBorder="1" applyAlignment="1">
      <alignment horizontal="center"/>
    </xf>
    <xf numFmtId="0" fontId="54" fillId="0" borderId="1" xfId="0" applyFont="1" applyBorder="1" applyAlignment="1" applyProtection="1">
      <alignment horizontal="center" vertical="top" wrapText="1"/>
      <protection/>
    </xf>
    <xf numFmtId="0" fontId="77" fillId="0" borderId="0" xfId="0" applyFont="1" applyAlignment="1">
      <alignment/>
    </xf>
    <xf numFmtId="0" fontId="59" fillId="0" borderId="0" xfId="0" applyFont="1" applyAlignment="1">
      <alignment/>
    </xf>
    <xf numFmtId="2" fontId="77" fillId="0" borderId="0" xfId="0" applyNumberFormat="1" applyFont="1" applyAlignment="1">
      <alignment/>
    </xf>
    <xf numFmtId="164" fontId="23" fillId="3" borderId="8" xfId="0" applyNumberFormat="1" applyFont="1" applyFill="1" applyBorder="1" applyAlignment="1" applyProtection="1">
      <alignment horizontal="center"/>
      <protection/>
    </xf>
    <xf numFmtId="164" fontId="26" fillId="3" borderId="10" xfId="0" applyNumberFormat="1" applyFont="1" applyFill="1" applyBorder="1" applyAlignment="1" applyProtection="1">
      <alignment horizontal="center"/>
      <protection/>
    </xf>
    <xf numFmtId="164" fontId="19" fillId="3" borderId="10" xfId="0" applyNumberFormat="1" applyFont="1" applyFill="1" applyBorder="1" applyAlignment="1" applyProtection="1">
      <alignment horizontal="center"/>
      <protection/>
    </xf>
    <xf numFmtId="0" fontId="4" fillId="0" borderId="0" xfId="0" applyFont="1" applyAlignment="1">
      <alignment horizontal="center" vertical="top"/>
    </xf>
    <xf numFmtId="0" fontId="78" fillId="0" borderId="0" xfId="0" applyFont="1" applyAlignment="1">
      <alignment horizontal="center" vertical="top"/>
    </xf>
    <xf numFmtId="0" fontId="6" fillId="3" borderId="1" xfId="0" applyFont="1" applyFill="1" applyBorder="1" applyAlignment="1" applyProtection="1">
      <alignment horizontal="center" vertical="top"/>
      <protection/>
    </xf>
    <xf numFmtId="0" fontId="79" fillId="3" borderId="1" xfId="0" applyFont="1" applyFill="1" applyBorder="1" applyAlignment="1" applyProtection="1">
      <alignment horizontal="center" vertical="top" wrapText="1"/>
      <protection/>
    </xf>
    <xf numFmtId="164" fontId="6" fillId="0" borderId="1" xfId="0" applyNumberFormat="1" applyFont="1" applyBorder="1" applyAlignment="1" applyProtection="1">
      <alignment horizontal="center" wrapText="1"/>
      <protection/>
    </xf>
    <xf numFmtId="0" fontId="79" fillId="3" borderId="13" xfId="0" applyFont="1" applyFill="1" applyBorder="1" applyAlignment="1" applyProtection="1">
      <alignment horizontal="center" vertical="top" wrapText="1"/>
      <protection/>
    </xf>
    <xf numFmtId="0" fontId="8" fillId="0" borderId="13" xfId="0" applyFont="1" applyBorder="1" applyAlignment="1" applyProtection="1">
      <alignment horizontal="center"/>
      <protection/>
    </xf>
    <xf numFmtId="0" fontId="8" fillId="0" borderId="14" xfId="0" applyFont="1" applyBorder="1" applyAlignment="1">
      <alignment horizontal="center" wrapText="1"/>
    </xf>
    <xf numFmtId="0" fontId="8" fillId="0" borderId="14" xfId="0" applyFont="1" applyBorder="1" applyAlignment="1">
      <alignment/>
    </xf>
    <xf numFmtId="164" fontId="19" fillId="0" borderId="13" xfId="0" applyNumberFormat="1" applyFont="1" applyBorder="1" applyAlignment="1" applyProtection="1">
      <alignment horizontal="center"/>
      <protection/>
    </xf>
    <xf numFmtId="164" fontId="53" fillId="0" borderId="13" xfId="0" applyNumberFormat="1" applyFont="1" applyBorder="1" applyAlignment="1" applyProtection="1">
      <alignment horizontal="center"/>
      <protection/>
    </xf>
    <xf numFmtId="164" fontId="56" fillId="0" borderId="13" xfId="0" applyNumberFormat="1" applyFont="1" applyBorder="1" applyAlignment="1" applyProtection="1">
      <alignment horizontal="center"/>
      <protection/>
    </xf>
    <xf numFmtId="0" fontId="8" fillId="0" borderId="14" xfId="0" applyFont="1" applyFill="1" applyBorder="1" applyAlignment="1">
      <alignment/>
    </xf>
    <xf numFmtId="0" fontId="8" fillId="0" borderId="15" xfId="0" applyFont="1" applyBorder="1" applyAlignment="1">
      <alignment/>
    </xf>
    <xf numFmtId="0" fontId="8" fillId="0" borderId="16" xfId="0" applyFont="1" applyBorder="1" applyAlignment="1" applyProtection="1">
      <alignment horizontal="left"/>
      <protection/>
    </xf>
    <xf numFmtId="164" fontId="26" fillId="0" borderId="16" xfId="0" applyNumberFormat="1" applyFont="1" applyBorder="1" applyAlignment="1" applyProtection="1">
      <alignment horizontal="center"/>
      <protection/>
    </xf>
    <xf numFmtId="164" fontId="26" fillId="0" borderId="17" xfId="0" applyNumberFormat="1" applyFont="1" applyBorder="1" applyAlignment="1" applyProtection="1">
      <alignment horizontal="center"/>
      <protection/>
    </xf>
    <xf numFmtId="170" fontId="9" fillId="0" borderId="1" xfId="0" applyNumberFormat="1" applyFont="1" applyFill="1" applyBorder="1" applyAlignment="1" quotePrefix="1">
      <alignment horizontal="center"/>
    </xf>
    <xf numFmtId="0" fontId="6" fillId="0" borderId="1" xfId="0" applyFont="1" applyFill="1" applyBorder="1" applyAlignment="1">
      <alignment/>
    </xf>
    <xf numFmtId="0" fontId="6" fillId="0" borderId="1" xfId="0" applyFont="1" applyBorder="1" applyAlignment="1">
      <alignment horizontal="center" vertical="center" wrapText="1"/>
    </xf>
    <xf numFmtId="164" fontId="1" fillId="0" borderId="1" xfId="0" applyNumberFormat="1" applyFont="1" applyBorder="1" applyAlignment="1" applyProtection="1">
      <alignment horizontal="center" vertical="center"/>
      <protection/>
    </xf>
    <xf numFmtId="164" fontId="1" fillId="0" borderId="1" xfId="0" applyNumberFormat="1" applyFont="1" applyBorder="1" applyAlignment="1" applyProtection="1">
      <alignment horizontal="center" vertical="center" wrapText="1"/>
      <protection/>
    </xf>
    <xf numFmtId="0" fontId="1" fillId="0" borderId="1" xfId="0" applyFont="1" applyBorder="1" applyAlignment="1">
      <alignment vertical="center"/>
    </xf>
    <xf numFmtId="0" fontId="1" fillId="0" borderId="1" xfId="0" applyFont="1" applyBorder="1" applyAlignment="1" applyProtection="1">
      <alignment horizontal="center" vertical="center" wrapText="1"/>
      <protection/>
    </xf>
    <xf numFmtId="0" fontId="1" fillId="0" borderId="1" xfId="0" applyFont="1" applyBorder="1" applyAlignment="1" applyProtection="1">
      <alignment horizontal="center" vertical="center"/>
      <protection/>
    </xf>
    <xf numFmtId="166" fontId="10" fillId="0" borderId="1" xfId="0" applyNumberFormat="1" applyFont="1" applyBorder="1" applyAlignment="1" applyProtection="1">
      <alignment horizontal="center"/>
      <protection/>
    </xf>
    <xf numFmtId="1" fontId="8" fillId="0" borderId="1" xfId="0" applyNumberFormat="1" applyFont="1" applyBorder="1" applyAlignment="1" applyProtection="1">
      <alignment horizontal="center"/>
      <protection/>
    </xf>
    <xf numFmtId="164" fontId="13" fillId="0" borderId="1" xfId="0" applyNumberFormat="1" applyFont="1" applyBorder="1" applyAlignment="1" applyProtection="1">
      <alignment horizontal="center" vertical="center"/>
      <protection/>
    </xf>
    <xf numFmtId="0" fontId="14" fillId="0" borderId="1" xfId="0" applyFont="1" applyBorder="1" applyAlignment="1" applyProtection="1">
      <alignment horizontal="center" vertical="center"/>
      <protection/>
    </xf>
    <xf numFmtId="0" fontId="6" fillId="0" borderId="1" xfId="0" applyFont="1" applyBorder="1" applyAlignment="1">
      <alignment horizontal="center" wrapText="1"/>
    </xf>
    <xf numFmtId="164" fontId="14" fillId="0" borderId="1" xfId="0" applyNumberFormat="1" applyFont="1" applyBorder="1" applyAlignment="1" applyProtection="1">
      <alignment horizontal="center" vertical="center" wrapText="1"/>
      <protection/>
    </xf>
    <xf numFmtId="0" fontId="14" fillId="0" borderId="1" xfId="0" applyFont="1" applyBorder="1" applyAlignment="1">
      <alignment horizontal="center"/>
    </xf>
    <xf numFmtId="166" fontId="8" fillId="0" borderId="1" xfId="0" applyNumberFormat="1" applyFont="1" applyBorder="1" applyAlignment="1" applyProtection="1">
      <alignment horizontal="right"/>
      <protection/>
    </xf>
    <xf numFmtId="164" fontId="1" fillId="0" borderId="1" xfId="0" applyNumberFormat="1" applyFont="1" applyBorder="1" applyAlignment="1" applyProtection="1">
      <alignment/>
      <protection/>
    </xf>
    <xf numFmtId="164" fontId="10" fillId="3" borderId="1" xfId="0" applyNumberFormat="1" applyFont="1" applyFill="1" applyBorder="1" applyAlignment="1" applyProtection="1">
      <alignment horizontal="center" vertical="top" wrapText="1"/>
      <protection/>
    </xf>
    <xf numFmtId="0" fontId="9" fillId="3" borderId="1" xfId="0" applyFont="1" applyFill="1" applyBorder="1" applyAlignment="1">
      <alignment horizontal="center" vertical="top" wrapText="1"/>
    </xf>
    <xf numFmtId="0" fontId="70" fillId="3" borderId="1" xfId="0" applyFont="1" applyFill="1" applyBorder="1" applyAlignment="1">
      <alignment horizontal="center" vertical="center" wrapText="1"/>
    </xf>
    <xf numFmtId="0" fontId="70" fillId="3" borderId="1" xfId="0" applyFont="1" applyFill="1" applyBorder="1" applyAlignment="1" applyProtection="1">
      <alignment horizontal="center" vertical="center"/>
      <protection/>
    </xf>
    <xf numFmtId="0" fontId="70" fillId="0" borderId="1" xfId="0" applyFont="1" applyFill="1" applyBorder="1" applyAlignment="1" applyProtection="1">
      <alignment horizontal="center" vertical="center"/>
      <protection/>
    </xf>
    <xf numFmtId="0" fontId="73" fillId="3" borderId="1" xfId="0" applyFont="1" applyFill="1" applyBorder="1" applyAlignment="1" applyProtection="1">
      <alignment horizontal="center" vertical="center"/>
      <protection/>
    </xf>
    <xf numFmtId="0" fontId="48" fillId="0" borderId="0" xfId="0" applyFont="1" applyAlignment="1">
      <alignment horizontal="center" vertical="center"/>
    </xf>
    <xf numFmtId="164" fontId="48" fillId="0" borderId="0" xfId="0" applyNumberFormat="1" applyFont="1" applyAlignment="1" applyProtection="1">
      <alignment horizontal="center" vertical="center"/>
      <protection/>
    </xf>
    <xf numFmtId="166" fontId="9" fillId="0" borderId="1" xfId="0" applyNumberFormat="1" applyFont="1" applyBorder="1" applyAlignment="1" applyProtection="1">
      <alignment horizontal="center"/>
      <protection/>
    </xf>
    <xf numFmtId="164" fontId="8" fillId="0" borderId="1" xfId="0" applyNumberFormat="1" applyFont="1" applyBorder="1" applyAlignment="1">
      <alignment horizontal="right"/>
    </xf>
    <xf numFmtId="164" fontId="8" fillId="0" borderId="1" xfId="0" applyNumberFormat="1" applyFont="1" applyBorder="1" applyAlignment="1" applyProtection="1">
      <alignment horizontal="right"/>
      <protection/>
    </xf>
    <xf numFmtId="164" fontId="10" fillId="0" borderId="1" xfId="0" applyNumberFormat="1" applyFont="1" applyBorder="1" applyAlignment="1" applyProtection="1">
      <alignment horizontal="right"/>
      <protection/>
    </xf>
    <xf numFmtId="0" fontId="6" fillId="0" borderId="1" xfId="0" applyFont="1" applyBorder="1" applyAlignment="1">
      <alignment/>
    </xf>
    <xf numFmtId="164" fontId="9" fillId="0" borderId="1" xfId="0" applyNumberFormat="1" applyFont="1" applyBorder="1" applyAlignment="1">
      <alignment horizontal="right"/>
    </xf>
    <xf numFmtId="164" fontId="9" fillId="0" borderId="1" xfId="0" applyNumberFormat="1" applyFont="1" applyBorder="1" applyAlignment="1" applyProtection="1">
      <alignment horizontal="right"/>
      <protection/>
    </xf>
    <xf numFmtId="0" fontId="1" fillId="0" borderId="0" xfId="0" applyFont="1" applyAlignment="1">
      <alignment horizontal="right"/>
    </xf>
    <xf numFmtId="0" fontId="82" fillId="0" borderId="0" xfId="0" applyFont="1" applyFill="1" applyAlignment="1">
      <alignment/>
    </xf>
    <xf numFmtId="0" fontId="83" fillId="0" borderId="0" xfId="0" applyFont="1" applyAlignment="1">
      <alignment/>
    </xf>
    <xf numFmtId="0" fontId="84" fillId="0" borderId="1" xfId="0" applyFont="1" applyBorder="1" applyAlignment="1">
      <alignment horizontal="center" vertical="top" wrapText="1"/>
    </xf>
    <xf numFmtId="0" fontId="84" fillId="0" borderId="1" xfId="0" applyFont="1" applyBorder="1" applyAlignment="1" applyProtection="1">
      <alignment horizontal="center" vertical="top"/>
      <protection/>
    </xf>
    <xf numFmtId="164" fontId="84" fillId="0" borderId="1" xfId="0" applyNumberFormat="1" applyFont="1" applyBorder="1" applyAlignment="1" applyProtection="1">
      <alignment horizontal="center" vertical="top"/>
      <protection/>
    </xf>
    <xf numFmtId="164" fontId="85" fillId="0" borderId="1" xfId="0" applyNumberFormat="1" applyFont="1" applyBorder="1" applyAlignment="1" applyProtection="1">
      <alignment horizontal="center" vertical="top"/>
      <protection/>
    </xf>
    <xf numFmtId="0" fontId="84" fillId="0" borderId="0" xfId="0" applyFont="1" applyAlignment="1">
      <alignment/>
    </xf>
    <xf numFmtId="2" fontId="1" fillId="0" borderId="0" xfId="0" applyNumberFormat="1" applyFont="1" applyAlignment="1">
      <alignment/>
    </xf>
    <xf numFmtId="0" fontId="86" fillId="3" borderId="0" xfId="0" applyFont="1" applyFill="1" applyAlignment="1">
      <alignment/>
    </xf>
    <xf numFmtId="0" fontId="6" fillId="0" borderId="0" xfId="0" applyFont="1" applyAlignment="1">
      <alignment/>
    </xf>
    <xf numFmtId="0" fontId="21" fillId="0" borderId="1" xfId="0" applyFont="1" applyBorder="1" applyAlignment="1">
      <alignment/>
    </xf>
    <xf numFmtId="0" fontId="21" fillId="0" borderId="1" xfId="21" applyFont="1" applyBorder="1">
      <alignment/>
      <protection/>
    </xf>
    <xf numFmtId="0" fontId="21" fillId="0" borderId="1" xfId="0" applyFont="1" applyBorder="1" applyAlignment="1">
      <alignment horizontal="center" vertical="top" wrapText="1"/>
    </xf>
    <xf numFmtId="164" fontId="21" fillId="0" borderId="1" xfId="0" applyNumberFormat="1" applyFont="1" applyBorder="1" applyAlignment="1" applyProtection="1">
      <alignment horizontal="center" vertical="top" wrapText="1"/>
      <protection/>
    </xf>
    <xf numFmtId="0" fontId="21" fillId="0" borderId="1" xfId="0" applyFont="1" applyBorder="1" applyAlignment="1" applyProtection="1">
      <alignment horizontal="center" vertical="top" wrapText="1"/>
      <protection/>
    </xf>
    <xf numFmtId="164" fontId="87" fillId="0" borderId="1" xfId="0" applyNumberFormat="1" applyFont="1" applyBorder="1" applyAlignment="1" applyProtection="1">
      <alignment horizontal="center" vertical="top" wrapText="1"/>
      <protection/>
    </xf>
    <xf numFmtId="164" fontId="21" fillId="0" borderId="0" xfId="0" applyNumberFormat="1" applyFont="1" applyAlignment="1" applyProtection="1">
      <alignment horizontal="center" vertical="top" wrapText="1"/>
      <protection/>
    </xf>
    <xf numFmtId="0" fontId="21" fillId="0" borderId="0" xfId="0" applyFont="1" applyAlignment="1">
      <alignment horizontal="center" vertical="top" wrapText="1"/>
    </xf>
    <xf numFmtId="164" fontId="21" fillId="0" borderId="1" xfId="0" applyNumberFormat="1" applyFont="1" applyBorder="1" applyAlignment="1" applyProtection="1">
      <alignment horizontal="center" vertical="top"/>
      <protection/>
    </xf>
    <xf numFmtId="0" fontId="21" fillId="0" borderId="1" xfId="0" applyFont="1" applyFill="1" applyBorder="1" applyAlignment="1" applyProtection="1">
      <alignment horizontal="center" vertical="top" wrapText="1"/>
      <protection/>
    </xf>
    <xf numFmtId="164" fontId="21" fillId="3" borderId="1" xfId="0" applyNumberFormat="1" applyFont="1" applyFill="1" applyBorder="1" applyAlignment="1" applyProtection="1">
      <alignment horizontal="center" vertical="top" wrapText="1"/>
      <protection/>
    </xf>
    <xf numFmtId="167" fontId="44" fillId="0" borderId="1" xfId="0" applyNumberFormat="1" applyFont="1" applyBorder="1" applyAlignment="1">
      <alignment horizontal="center"/>
    </xf>
    <xf numFmtId="164" fontId="87" fillId="3" borderId="1" xfId="0" applyNumberFormat="1" applyFont="1" applyFill="1" applyBorder="1" applyAlignment="1" applyProtection="1">
      <alignment horizontal="center" vertical="top" wrapText="1"/>
      <protection/>
    </xf>
    <xf numFmtId="0" fontId="80" fillId="0" borderId="1" xfId="0" applyFont="1" applyBorder="1" applyAlignment="1" applyProtection="1">
      <alignment horizontal="left"/>
      <protection/>
    </xf>
    <xf numFmtId="0" fontId="80" fillId="3" borderId="1" xfId="0" applyFont="1" applyFill="1" applyBorder="1" applyAlignment="1" applyProtection="1">
      <alignment horizontal="center"/>
      <protection/>
    </xf>
    <xf numFmtId="0" fontId="73" fillId="3" borderId="1" xfId="0" applyFont="1" applyFill="1" applyBorder="1" applyAlignment="1" applyProtection="1">
      <alignment horizontal="center"/>
      <protection/>
    </xf>
    <xf numFmtId="0" fontId="89" fillId="0" borderId="0" xfId="0" applyFont="1" applyAlignment="1">
      <alignment/>
    </xf>
    <xf numFmtId="0" fontId="90" fillId="2" borderId="0" xfId="0" applyFont="1" applyFill="1" applyAlignment="1">
      <alignment/>
    </xf>
    <xf numFmtId="2" fontId="21" fillId="0" borderId="0" xfId="0" applyNumberFormat="1" applyFont="1" applyAlignment="1">
      <alignment/>
    </xf>
    <xf numFmtId="164" fontId="8" fillId="3" borderId="1" xfId="0" applyNumberFormat="1" applyFont="1" applyFill="1" applyBorder="1" applyAlignment="1" applyProtection="1">
      <alignment horizontal="left"/>
      <protection/>
    </xf>
    <xf numFmtId="166" fontId="8" fillId="0" borderId="1" xfId="0" applyNumberFormat="1" applyFont="1" applyBorder="1" applyAlignment="1">
      <alignment horizontal="right"/>
    </xf>
    <xf numFmtId="2" fontId="31" fillId="0" borderId="1" xfId="0" applyNumberFormat="1" applyFont="1" applyFill="1" applyBorder="1" applyAlignment="1">
      <alignment horizontal="center"/>
    </xf>
    <xf numFmtId="164" fontId="8" fillId="0" borderId="0" xfId="0" applyNumberFormat="1" applyFont="1" applyAlignment="1">
      <alignment/>
    </xf>
    <xf numFmtId="0" fontId="8" fillId="0" borderId="0" xfId="0" applyFont="1" applyAlignment="1">
      <alignment/>
    </xf>
    <xf numFmtId="0" fontId="8" fillId="0" borderId="0" xfId="0" applyFont="1" applyBorder="1" applyAlignment="1">
      <alignment horizontal="center" wrapText="1"/>
    </xf>
    <xf numFmtId="0" fontId="23" fillId="0" borderId="1" xfId="0" applyFont="1" applyBorder="1" applyAlignment="1" applyProtection="1">
      <alignment horizontal="center" vertical="top" wrapText="1"/>
      <protection/>
    </xf>
    <xf numFmtId="0" fontId="23" fillId="0" borderId="1" xfId="0" applyFont="1" applyBorder="1" applyAlignment="1" applyProtection="1">
      <alignment horizontal="center"/>
      <protection/>
    </xf>
    <xf numFmtId="0" fontId="26" fillId="0" borderId="1" xfId="0" applyFont="1" applyBorder="1" applyAlignment="1">
      <alignment/>
    </xf>
    <xf numFmtId="164" fontId="16" fillId="0" borderId="1" xfId="0" applyNumberFormat="1" applyFont="1" applyBorder="1" applyAlignment="1" applyProtection="1">
      <alignment horizontal="right"/>
      <protection/>
    </xf>
    <xf numFmtId="2" fontId="1" fillId="0" borderId="1" xfId="0" applyNumberFormat="1" applyFont="1" applyFill="1" applyBorder="1" applyAlignment="1">
      <alignment/>
    </xf>
    <xf numFmtId="0" fontId="1" fillId="0" borderId="0" xfId="0" applyFont="1" applyFill="1" applyAlignment="1">
      <alignment/>
    </xf>
    <xf numFmtId="2" fontId="92" fillId="0" borderId="1" xfId="0" applyNumberFormat="1" applyFont="1" applyFill="1" applyBorder="1" applyAlignment="1">
      <alignment/>
    </xf>
    <xf numFmtId="2" fontId="0" fillId="0" borderId="1" xfId="0" applyNumberFormat="1" applyFont="1" applyFill="1" applyBorder="1" applyAlignment="1">
      <alignment/>
    </xf>
    <xf numFmtId="0" fontId="6" fillId="0" borderId="0" xfId="0" applyFont="1" applyFill="1" applyAlignment="1">
      <alignment/>
    </xf>
    <xf numFmtId="1" fontId="1" fillId="0" borderId="0" xfId="0" applyNumberFormat="1" applyFont="1" applyFill="1" applyAlignment="1">
      <alignment/>
    </xf>
    <xf numFmtId="0" fontId="9" fillId="6" borderId="0" xfId="0" applyFont="1" applyFill="1" applyAlignment="1">
      <alignment horizontal="right"/>
    </xf>
    <xf numFmtId="165" fontId="9" fillId="0" borderId="18" xfId="0" applyNumberFormat="1" applyFont="1" applyBorder="1" applyAlignment="1" applyProtection="1">
      <alignment horizontal="center" wrapText="1"/>
      <protection/>
    </xf>
    <xf numFmtId="0" fontId="9" fillId="0" borderId="19" xfId="0" applyFont="1" applyBorder="1" applyAlignment="1">
      <alignment/>
    </xf>
    <xf numFmtId="165" fontId="9" fillId="0" borderId="19" xfId="0" applyNumberFormat="1" applyFont="1" applyBorder="1" applyAlignment="1" applyProtection="1">
      <alignment horizontal="center" wrapText="1"/>
      <protection/>
    </xf>
    <xf numFmtId="0" fontId="9" fillId="0" borderId="2" xfId="0" applyFont="1" applyBorder="1" applyAlignment="1">
      <alignment/>
    </xf>
    <xf numFmtId="1" fontId="8" fillId="0" borderId="20" xfId="0" applyNumberFormat="1" applyFont="1" applyBorder="1" applyAlignment="1">
      <alignment horizontal="center"/>
    </xf>
    <xf numFmtId="1" fontId="8" fillId="0" borderId="2" xfId="0" applyNumberFormat="1" applyFont="1" applyBorder="1" applyAlignment="1">
      <alignment horizontal="center"/>
    </xf>
    <xf numFmtId="1" fontId="8" fillId="0" borderId="21" xfId="0" applyNumberFormat="1" applyFont="1" applyBorder="1" applyAlignment="1">
      <alignment horizontal="center"/>
    </xf>
    <xf numFmtId="0" fontId="8" fillId="0" borderId="20" xfId="0" applyFont="1" applyBorder="1" applyAlignment="1">
      <alignment horizontal="center"/>
    </xf>
    <xf numFmtId="0" fontId="8" fillId="0" borderId="2" xfId="0" applyFont="1" applyBorder="1" applyAlignment="1">
      <alignment horizontal="center"/>
    </xf>
    <xf numFmtId="0" fontId="8" fillId="0" borderId="21" xfId="0" applyFont="1" applyBorder="1" applyAlignment="1">
      <alignment horizontal="center"/>
    </xf>
    <xf numFmtId="0" fontId="9" fillId="0" borderId="6" xfId="0" applyFont="1" applyBorder="1" applyAlignment="1">
      <alignment/>
    </xf>
    <xf numFmtId="0" fontId="8" fillId="0" borderId="6" xfId="0" applyFont="1" applyBorder="1" applyAlignment="1">
      <alignment/>
    </xf>
    <xf numFmtId="165" fontId="9" fillId="0" borderId="22" xfId="0" applyNumberFormat="1" applyFont="1" applyBorder="1" applyAlignment="1" applyProtection="1">
      <alignment horizontal="center" wrapText="1"/>
      <protection/>
    </xf>
    <xf numFmtId="165" fontId="9" fillId="0" borderId="23" xfId="0" applyNumberFormat="1" applyFont="1" applyBorder="1" applyAlignment="1" applyProtection="1">
      <alignment horizontal="center" wrapText="1"/>
      <protection/>
    </xf>
    <xf numFmtId="0" fontId="19" fillId="0" borderId="24" xfId="0" applyFont="1" applyBorder="1" applyAlignment="1">
      <alignment horizontal="center"/>
    </xf>
    <xf numFmtId="0" fontId="19" fillId="0" borderId="2" xfId="0" applyFont="1" applyBorder="1" applyAlignment="1">
      <alignment horizontal="center"/>
    </xf>
    <xf numFmtId="0" fontId="8" fillId="0" borderId="25" xfId="0" applyFont="1" applyBorder="1" applyAlignment="1">
      <alignment horizontal="center"/>
    </xf>
    <xf numFmtId="0" fontId="26" fillId="0" borderId="24" xfId="0" applyFont="1" applyBorder="1" applyAlignment="1">
      <alignment/>
    </xf>
    <xf numFmtId="0" fontId="26" fillId="0" borderId="2" xfId="0" applyFont="1" applyBorder="1" applyAlignment="1">
      <alignment/>
    </xf>
    <xf numFmtId="0" fontId="8" fillId="0" borderId="25" xfId="0" applyFont="1" applyBorder="1" applyAlignment="1">
      <alignment/>
    </xf>
    <xf numFmtId="2" fontId="51" fillId="0" borderId="24" xfId="0" applyNumberFormat="1" applyFont="1" applyBorder="1" applyAlignment="1">
      <alignment/>
    </xf>
    <xf numFmtId="2" fontId="26" fillId="0" borderId="2" xfId="0" applyNumberFormat="1" applyFont="1" applyBorder="1" applyAlignment="1">
      <alignment/>
    </xf>
    <xf numFmtId="2" fontId="51" fillId="0" borderId="24" xfId="0" applyNumberFormat="1" applyFont="1" applyBorder="1" applyAlignment="1">
      <alignment/>
    </xf>
    <xf numFmtId="2" fontId="51" fillId="0" borderId="2" xfId="0" applyNumberFormat="1" applyFont="1" applyBorder="1" applyAlignment="1">
      <alignment/>
    </xf>
    <xf numFmtId="2" fontId="51" fillId="0" borderId="26" xfId="0" applyNumberFormat="1" applyFont="1" applyBorder="1" applyAlignment="1">
      <alignment/>
    </xf>
    <xf numFmtId="2" fontId="26" fillId="0" borderId="27" xfId="0" applyNumberFormat="1" applyFont="1" applyBorder="1" applyAlignment="1">
      <alignment/>
    </xf>
    <xf numFmtId="0" fontId="18" fillId="0" borderId="28" xfId="0" applyFont="1" applyBorder="1" applyAlignment="1">
      <alignment horizontal="center"/>
    </xf>
    <xf numFmtId="0" fontId="17" fillId="0" borderId="28" xfId="0" applyFont="1" applyBorder="1" applyAlignment="1">
      <alignment/>
    </xf>
    <xf numFmtId="0" fontId="8" fillId="0" borderId="20" xfId="0" applyFont="1" applyBorder="1" applyAlignment="1">
      <alignment horizontal="center" wrapText="1"/>
    </xf>
    <xf numFmtId="0" fontId="9" fillId="0" borderId="20" xfId="0" applyFont="1" applyBorder="1" applyAlignment="1">
      <alignment/>
    </xf>
    <xf numFmtId="0" fontId="9" fillId="0" borderId="21" xfId="0" applyFont="1" applyBorder="1" applyAlignment="1">
      <alignment/>
    </xf>
    <xf numFmtId="0" fontId="8" fillId="0" borderId="21" xfId="0" applyFont="1" applyBorder="1" applyAlignment="1">
      <alignment/>
    </xf>
    <xf numFmtId="0" fontId="8" fillId="0" borderId="21" xfId="0" applyFont="1" applyBorder="1" applyAlignment="1" applyProtection="1">
      <alignment/>
      <protection/>
    </xf>
    <xf numFmtId="0" fontId="8" fillId="3" borderId="20" xfId="0" applyFont="1" applyFill="1" applyBorder="1" applyAlignment="1">
      <alignment horizontal="center"/>
    </xf>
    <xf numFmtId="0" fontId="9" fillId="3" borderId="21" xfId="0" applyFont="1" applyFill="1" applyBorder="1" applyAlignment="1">
      <alignment horizontal="center"/>
    </xf>
    <xf numFmtId="0" fontId="9" fillId="3" borderId="20" xfId="0" applyFont="1" applyFill="1" applyBorder="1" applyAlignment="1">
      <alignment horizontal="center"/>
    </xf>
    <xf numFmtId="0" fontId="9" fillId="3" borderId="21" xfId="0" applyFont="1" applyFill="1" applyBorder="1" applyAlignment="1">
      <alignment/>
    </xf>
    <xf numFmtId="0" fontId="8" fillId="0" borderId="21" xfId="0" applyFont="1" applyBorder="1" applyAlignment="1" applyProtection="1">
      <alignment horizontal="left"/>
      <protection/>
    </xf>
    <xf numFmtId="0" fontId="8" fillId="0" borderId="21" xfId="0" applyFont="1" applyFill="1" applyBorder="1" applyAlignment="1" applyProtection="1">
      <alignment horizontal="left"/>
      <protection/>
    </xf>
    <xf numFmtId="0" fontId="9" fillId="3" borderId="21" xfId="0" applyFont="1" applyFill="1" applyBorder="1" applyAlignment="1" applyProtection="1">
      <alignment/>
      <protection/>
    </xf>
    <xf numFmtId="0" fontId="9" fillId="3" borderId="21" xfId="0" applyFont="1" applyFill="1" applyBorder="1" applyAlignment="1" applyProtection="1">
      <alignment horizontal="center"/>
      <protection/>
    </xf>
    <xf numFmtId="0" fontId="26" fillId="3" borderId="29" xfId="0" applyFont="1" applyFill="1" applyBorder="1" applyAlignment="1">
      <alignment horizontal="center"/>
    </xf>
    <xf numFmtId="0" fontId="26" fillId="3" borderId="30" xfId="0" applyFont="1" applyFill="1" applyBorder="1" applyAlignment="1" applyProtection="1">
      <alignment/>
      <protection/>
    </xf>
    <xf numFmtId="164" fontId="26" fillId="3" borderId="29" xfId="0" applyNumberFormat="1" applyFont="1" applyFill="1" applyBorder="1" applyAlignment="1" applyProtection="1">
      <alignment horizontal="right"/>
      <protection/>
    </xf>
    <xf numFmtId="164" fontId="26" fillId="3" borderId="31" xfId="0" applyNumberFormat="1" applyFont="1" applyFill="1" applyBorder="1" applyAlignment="1" applyProtection="1">
      <alignment horizontal="right"/>
      <protection/>
    </xf>
    <xf numFmtId="2" fontId="26" fillId="3" borderId="31" xfId="0" applyNumberFormat="1" applyFont="1" applyFill="1" applyBorder="1" applyAlignment="1">
      <alignment horizontal="right"/>
    </xf>
    <xf numFmtId="2" fontId="26" fillId="3" borderId="30" xfId="0" applyNumberFormat="1" applyFont="1" applyFill="1" applyBorder="1" applyAlignment="1">
      <alignment horizontal="right"/>
    </xf>
    <xf numFmtId="1" fontId="26" fillId="3" borderId="1" xfId="0" applyNumberFormat="1" applyFont="1" applyFill="1" applyBorder="1" applyAlignment="1">
      <alignment horizontal="right"/>
    </xf>
    <xf numFmtId="0" fontId="26" fillId="0" borderId="6" xfId="0" applyFont="1" applyBorder="1" applyAlignment="1">
      <alignment/>
    </xf>
    <xf numFmtId="2" fontId="26" fillId="3" borderId="32" xfId="0" applyNumberFormat="1" applyFont="1" applyFill="1" applyBorder="1" applyAlignment="1">
      <alignment horizontal="right"/>
    </xf>
    <xf numFmtId="2" fontId="26" fillId="3" borderId="25" xfId="0" applyNumberFormat="1" applyFont="1" applyFill="1" applyBorder="1" applyAlignment="1">
      <alignment horizontal="right"/>
    </xf>
    <xf numFmtId="167" fontId="26" fillId="3" borderId="28" xfId="0" applyNumberFormat="1" applyFont="1" applyFill="1" applyBorder="1" applyAlignment="1">
      <alignment horizontal="right"/>
    </xf>
    <xf numFmtId="167" fontId="26" fillId="3" borderId="33" xfId="0" applyNumberFormat="1" applyFont="1" applyFill="1" applyBorder="1" applyAlignment="1">
      <alignment horizontal="right"/>
    </xf>
    <xf numFmtId="0" fontId="30" fillId="0" borderId="0" xfId="0" applyFont="1" applyAlignment="1">
      <alignment horizontal="right"/>
    </xf>
    <xf numFmtId="165" fontId="9" fillId="0" borderId="34" xfId="0" applyNumberFormat="1" applyFont="1" applyBorder="1" applyAlignment="1" applyProtection="1">
      <alignment horizontal="center" wrapText="1"/>
      <protection/>
    </xf>
    <xf numFmtId="0" fontId="9" fillId="0" borderId="34" xfId="0" applyFont="1" applyBorder="1" applyAlignment="1">
      <alignment/>
    </xf>
    <xf numFmtId="0" fontId="9" fillId="0" borderId="35" xfId="0" applyFont="1" applyBorder="1" applyAlignment="1">
      <alignment/>
    </xf>
    <xf numFmtId="0" fontId="8" fillId="0" borderId="36" xfId="0" applyFont="1" applyBorder="1" applyAlignment="1">
      <alignment horizontal="center" wrapText="1"/>
    </xf>
    <xf numFmtId="1" fontId="8" fillId="0" borderId="35" xfId="0" applyNumberFormat="1" applyFont="1" applyBorder="1" applyAlignment="1">
      <alignment horizontal="center"/>
    </xf>
    <xf numFmtId="0" fontId="8" fillId="0" borderId="35" xfId="0" applyFont="1" applyBorder="1" applyAlignment="1">
      <alignment/>
    </xf>
    <xf numFmtId="0" fontId="26" fillId="0" borderId="35" xfId="0" applyFont="1" applyBorder="1" applyAlignment="1">
      <alignment horizontal="center"/>
    </xf>
    <xf numFmtId="0" fontId="20" fillId="0" borderId="37" xfId="0" applyFont="1" applyBorder="1" applyAlignment="1">
      <alignment horizontal="center"/>
    </xf>
    <xf numFmtId="0" fontId="9" fillId="0" borderId="36" xfId="0" applyFont="1" applyBorder="1" applyAlignment="1">
      <alignment/>
    </xf>
    <xf numFmtId="0" fontId="8" fillId="0" borderId="35" xfId="0" applyFont="1" applyBorder="1" applyAlignment="1">
      <alignment horizontal="center"/>
    </xf>
    <xf numFmtId="0" fontId="26" fillId="0" borderId="35" xfId="0" applyFont="1" applyBorder="1" applyAlignment="1">
      <alignment/>
    </xf>
    <xf numFmtId="0" fontId="8" fillId="0" borderId="36" xfId="0" applyFont="1" applyBorder="1" applyAlignment="1">
      <alignment horizontal="center"/>
    </xf>
    <xf numFmtId="0" fontId="8" fillId="0" borderId="35" xfId="0" applyFont="1" applyBorder="1" applyAlignment="1">
      <alignment/>
    </xf>
    <xf numFmtId="164" fontId="8" fillId="3" borderId="35" xfId="0" applyNumberFormat="1" applyFont="1" applyFill="1" applyBorder="1" applyAlignment="1" applyProtection="1">
      <alignment horizontal="right"/>
      <protection/>
    </xf>
    <xf numFmtId="2" fontId="8" fillId="3" borderId="35" xfId="0" applyNumberFormat="1" applyFont="1" applyFill="1" applyBorder="1" applyAlignment="1">
      <alignment horizontal="right"/>
    </xf>
    <xf numFmtId="1" fontId="8" fillId="3" borderId="35" xfId="0" applyNumberFormat="1" applyFont="1" applyFill="1" applyBorder="1" applyAlignment="1">
      <alignment horizontal="right"/>
    </xf>
    <xf numFmtId="2" fontId="91" fillId="0" borderId="35" xfId="0" applyNumberFormat="1" applyFont="1" applyBorder="1" applyAlignment="1">
      <alignment/>
    </xf>
    <xf numFmtId="2" fontId="51" fillId="0" borderId="35" xfId="0" applyNumberFormat="1" applyFont="1" applyBorder="1" applyAlignment="1">
      <alignment/>
    </xf>
    <xf numFmtId="2" fontId="26" fillId="0" borderId="35" xfId="0" applyNumberFormat="1" applyFont="1" applyBorder="1" applyAlignment="1">
      <alignment/>
    </xf>
    <xf numFmtId="2" fontId="26" fillId="3" borderId="35" xfId="0" applyNumberFormat="1" applyFont="1" applyFill="1" applyBorder="1" applyAlignment="1">
      <alignment horizontal="right"/>
    </xf>
    <xf numFmtId="167" fontId="26" fillId="3" borderId="37" xfId="0" applyNumberFormat="1" applyFont="1" applyFill="1" applyBorder="1" applyAlignment="1">
      <alignment horizontal="right"/>
    </xf>
    <xf numFmtId="0" fontId="8" fillId="0" borderId="35" xfId="0" applyFont="1" applyBorder="1" applyAlignment="1" applyProtection="1">
      <alignment/>
      <protection/>
    </xf>
    <xf numFmtId="164" fontId="9" fillId="3" borderId="35" xfId="0" applyNumberFormat="1" applyFont="1" applyFill="1" applyBorder="1" applyAlignment="1" applyProtection="1">
      <alignment horizontal="right"/>
      <protection/>
    </xf>
    <xf numFmtId="2" fontId="9" fillId="3" borderId="35" xfId="0" applyNumberFormat="1" applyFont="1" applyFill="1" applyBorder="1" applyAlignment="1">
      <alignment horizontal="right"/>
    </xf>
    <xf numFmtId="1" fontId="9" fillId="3" borderId="35" xfId="0" applyNumberFormat="1" applyFont="1" applyFill="1" applyBorder="1" applyAlignment="1">
      <alignment horizontal="right"/>
    </xf>
    <xf numFmtId="0" fontId="9" fillId="0" borderId="35" xfId="0" applyFont="1" applyBorder="1" applyAlignment="1">
      <alignment/>
    </xf>
    <xf numFmtId="2" fontId="93" fillId="0" borderId="35" xfId="0" applyNumberFormat="1" applyFont="1" applyBorder="1" applyAlignment="1">
      <alignment/>
    </xf>
    <xf numFmtId="0" fontId="8" fillId="3" borderId="36" xfId="0" applyFont="1" applyFill="1" applyBorder="1" applyAlignment="1">
      <alignment horizontal="center"/>
    </xf>
    <xf numFmtId="0" fontId="9" fillId="3" borderId="35" xfId="0" applyFont="1" applyFill="1" applyBorder="1" applyAlignment="1">
      <alignment horizontal="center"/>
    </xf>
    <xf numFmtId="2" fontId="51" fillId="0" borderId="35" xfId="0" applyNumberFormat="1" applyFont="1" applyBorder="1" applyAlignment="1">
      <alignment/>
    </xf>
    <xf numFmtId="0" fontId="9" fillId="3" borderId="36" xfId="0" applyFont="1" applyFill="1" applyBorder="1" applyAlignment="1">
      <alignment horizontal="center"/>
    </xf>
    <xf numFmtId="0" fontId="9" fillId="3" borderId="35" xfId="0" applyFont="1" applyFill="1" applyBorder="1" applyAlignment="1">
      <alignment/>
    </xf>
    <xf numFmtId="0" fontId="8" fillId="0" borderId="35" xfId="0" applyFont="1" applyBorder="1" applyAlignment="1" applyProtection="1">
      <alignment horizontal="left"/>
      <protection/>
    </xf>
    <xf numFmtId="164" fontId="8" fillId="0" borderId="35" xfId="0" applyNumberFormat="1" applyFont="1" applyFill="1" applyBorder="1" applyAlignment="1" applyProtection="1">
      <alignment horizontal="right"/>
      <protection/>
    </xf>
    <xf numFmtId="0" fontId="8" fillId="0" borderId="35" xfId="0" applyFont="1" applyFill="1" applyBorder="1" applyAlignment="1" applyProtection="1">
      <alignment horizontal="left"/>
      <protection/>
    </xf>
    <xf numFmtId="0" fontId="9" fillId="3" borderId="35" xfId="0" applyFont="1" applyFill="1" applyBorder="1" applyAlignment="1" applyProtection="1">
      <alignment/>
      <protection/>
    </xf>
    <xf numFmtId="0" fontId="9" fillId="3" borderId="35" xfId="0" applyFont="1" applyFill="1" applyBorder="1" applyAlignment="1" applyProtection="1">
      <alignment horizontal="center"/>
      <protection/>
    </xf>
    <xf numFmtId="0" fontId="26" fillId="3" borderId="38" xfId="0" applyFont="1" applyFill="1" applyBorder="1" applyAlignment="1">
      <alignment horizontal="center"/>
    </xf>
    <xf numFmtId="0" fontId="26" fillId="3" borderId="39" xfId="0" applyFont="1" applyFill="1" applyBorder="1" applyAlignment="1" applyProtection="1">
      <alignment/>
      <protection/>
    </xf>
    <xf numFmtId="164" fontId="26" fillId="3" borderId="39" xfId="0" applyNumberFormat="1" applyFont="1" applyFill="1" applyBorder="1" applyAlignment="1" applyProtection="1">
      <alignment horizontal="right"/>
      <protection/>
    </xf>
    <xf numFmtId="2" fontId="26" fillId="3" borderId="39" xfId="0" applyNumberFormat="1" applyFont="1" applyFill="1" applyBorder="1" applyAlignment="1">
      <alignment horizontal="right"/>
    </xf>
    <xf numFmtId="1" fontId="26" fillId="3" borderId="39" xfId="0" applyNumberFormat="1" applyFont="1" applyFill="1" applyBorder="1" applyAlignment="1">
      <alignment horizontal="right"/>
    </xf>
    <xf numFmtId="0" fontId="26" fillId="0" borderId="39" xfId="0" applyFont="1" applyBorder="1" applyAlignment="1">
      <alignment/>
    </xf>
    <xf numFmtId="2" fontId="51" fillId="0" borderId="39" xfId="0" applyNumberFormat="1" applyFont="1" applyBorder="1" applyAlignment="1">
      <alignment/>
    </xf>
    <xf numFmtId="2" fontId="26" fillId="0" borderId="39" xfId="0" applyNumberFormat="1" applyFont="1" applyBorder="1" applyAlignment="1">
      <alignment/>
    </xf>
    <xf numFmtId="167" fontId="26" fillId="3" borderId="40" xfId="0" applyNumberFormat="1" applyFont="1" applyFill="1" applyBorder="1" applyAlignment="1">
      <alignment horizontal="right"/>
    </xf>
    <xf numFmtId="164" fontId="19" fillId="3" borderId="20" xfId="0" applyNumberFormat="1" applyFont="1" applyFill="1" applyBorder="1" applyAlignment="1" applyProtection="1">
      <alignment horizontal="right"/>
      <protection/>
    </xf>
    <xf numFmtId="164" fontId="19" fillId="3" borderId="2" xfId="0" applyNumberFormat="1" applyFont="1" applyFill="1" applyBorder="1" applyAlignment="1" applyProtection="1">
      <alignment horizontal="right"/>
      <protection/>
    </xf>
    <xf numFmtId="2" fontId="19" fillId="3" borderId="2" xfId="0" applyNumberFormat="1" applyFont="1" applyFill="1" applyBorder="1" applyAlignment="1">
      <alignment horizontal="right"/>
    </xf>
    <xf numFmtId="2" fontId="19" fillId="3" borderId="21" xfId="0" applyNumberFormat="1" applyFont="1" applyFill="1" applyBorder="1" applyAlignment="1">
      <alignment horizontal="right"/>
    </xf>
    <xf numFmtId="1" fontId="19" fillId="3" borderId="1" xfId="0" applyNumberFormat="1" applyFont="1" applyFill="1" applyBorder="1" applyAlignment="1">
      <alignment horizontal="right"/>
    </xf>
    <xf numFmtId="0" fontId="19" fillId="0" borderId="1" xfId="0" applyFont="1" applyBorder="1" applyAlignment="1">
      <alignment/>
    </xf>
    <xf numFmtId="2" fontId="94" fillId="0" borderId="6" xfId="0" applyNumberFormat="1" applyFont="1" applyBorder="1" applyAlignment="1">
      <alignment/>
    </xf>
    <xf numFmtId="2" fontId="19" fillId="3" borderId="25" xfId="0" applyNumberFormat="1" applyFont="1" applyFill="1" applyBorder="1" applyAlignment="1">
      <alignment horizontal="right"/>
    </xf>
    <xf numFmtId="164" fontId="26" fillId="3" borderId="20" xfId="0" applyNumberFormat="1" applyFont="1" applyFill="1" applyBorder="1" applyAlignment="1" applyProtection="1">
      <alignment horizontal="right"/>
      <protection/>
    </xf>
    <xf numFmtId="164" fontId="26" fillId="3" borderId="2" xfId="0" applyNumberFormat="1" applyFont="1" applyFill="1" applyBorder="1" applyAlignment="1" applyProtection="1">
      <alignment horizontal="right"/>
      <protection/>
    </xf>
    <xf numFmtId="2" fontId="26" fillId="3" borderId="2" xfId="0" applyNumberFormat="1" applyFont="1" applyFill="1" applyBorder="1" applyAlignment="1">
      <alignment horizontal="right"/>
    </xf>
    <xf numFmtId="2" fontId="26" fillId="3" borderId="21" xfId="0" applyNumberFormat="1" applyFont="1" applyFill="1" applyBorder="1" applyAlignment="1">
      <alignment horizontal="right"/>
    </xf>
    <xf numFmtId="2" fontId="95" fillId="0" borderId="6" xfId="0" applyNumberFormat="1" applyFont="1" applyBorder="1" applyAlignment="1">
      <alignment/>
    </xf>
    <xf numFmtId="2" fontId="19" fillId="3" borderId="1" xfId="0" applyNumberFormat="1" applyFont="1" applyFill="1" applyBorder="1" applyAlignment="1">
      <alignment horizontal="right"/>
    </xf>
    <xf numFmtId="0" fontId="19" fillId="0" borderId="6" xfId="0" applyFont="1" applyBorder="1" applyAlignment="1">
      <alignment/>
    </xf>
    <xf numFmtId="164" fontId="19" fillId="0" borderId="2" xfId="0" applyNumberFormat="1" applyFont="1" applyFill="1" applyBorder="1" applyAlignment="1" applyProtection="1">
      <alignment horizontal="right"/>
      <protection/>
    </xf>
    <xf numFmtId="167" fontId="0" fillId="0" borderId="0" xfId="0" applyNumberFormat="1" applyAlignment="1">
      <alignment/>
    </xf>
    <xf numFmtId="2" fontId="26" fillId="0" borderId="2" xfId="0" applyNumberFormat="1" applyFont="1" applyFill="1" applyBorder="1" applyAlignment="1">
      <alignment horizontal="right"/>
    </xf>
    <xf numFmtId="167" fontId="19" fillId="3" borderId="28" xfId="0" applyNumberFormat="1" applyFont="1" applyFill="1" applyBorder="1" applyAlignment="1">
      <alignment horizontal="right"/>
    </xf>
    <xf numFmtId="164" fontId="8" fillId="0" borderId="1" xfId="0" applyNumberFormat="1" applyFont="1" applyBorder="1" applyAlignment="1" applyProtection="1">
      <alignment/>
      <protection/>
    </xf>
    <xf numFmtId="164" fontId="8" fillId="0" borderId="9" xfId="0" applyNumberFormat="1" applyFont="1" applyBorder="1" applyAlignment="1" applyProtection="1">
      <alignment horizontal="center"/>
      <protection/>
    </xf>
    <xf numFmtId="164" fontId="9" fillId="0" borderId="41" xfId="0" applyNumberFormat="1" applyFont="1" applyBorder="1" applyAlignment="1" applyProtection="1">
      <alignment horizontal="center" wrapText="1"/>
      <protection/>
    </xf>
    <xf numFmtId="164" fontId="9" fillId="0" borderId="42" xfId="0" applyNumberFormat="1" applyFont="1" applyBorder="1" applyAlignment="1" applyProtection="1">
      <alignment horizontal="center" wrapText="1"/>
      <protection/>
    </xf>
    <xf numFmtId="164" fontId="10" fillId="0" borderId="9" xfId="0" applyNumberFormat="1" applyFont="1" applyBorder="1" applyAlignment="1" applyProtection="1">
      <alignment horizontal="center"/>
      <protection/>
    </xf>
    <xf numFmtId="164" fontId="10" fillId="0" borderId="8" xfId="0" applyNumberFormat="1" applyFont="1" applyBorder="1" applyAlignment="1" applyProtection="1">
      <alignment horizontal="center" wrapText="1"/>
      <protection/>
    </xf>
    <xf numFmtId="164" fontId="10" fillId="0" borderId="9" xfId="0" applyNumberFormat="1" applyFont="1" applyBorder="1" applyAlignment="1" applyProtection="1">
      <alignment horizontal="center" wrapText="1"/>
      <protection/>
    </xf>
    <xf numFmtId="0" fontId="0" fillId="0" borderId="1" xfId="0" applyBorder="1" applyAlignment="1">
      <alignment/>
    </xf>
    <xf numFmtId="0" fontId="0" fillId="0" borderId="12" xfId="0" applyFill="1" applyBorder="1" applyAlignment="1">
      <alignment/>
    </xf>
    <xf numFmtId="0" fontId="8" fillId="0" borderId="1" xfId="0" applyFont="1" applyFill="1" applyBorder="1" applyAlignment="1">
      <alignment horizontal="center" wrapText="1"/>
    </xf>
    <xf numFmtId="0" fontId="8" fillId="0" borderId="1" xfId="0" applyFont="1" applyFill="1" applyBorder="1" applyAlignment="1">
      <alignment horizontal="center"/>
    </xf>
    <xf numFmtId="0" fontId="8" fillId="0" borderId="1" xfId="0" applyFont="1" applyFill="1" applyBorder="1" applyAlignment="1" applyProtection="1">
      <alignment horizontal="center"/>
      <protection/>
    </xf>
    <xf numFmtId="0" fontId="0" fillId="0" borderId="1" xfId="0" applyFill="1" applyBorder="1" applyAlignment="1">
      <alignment/>
    </xf>
    <xf numFmtId="0" fontId="8" fillId="0" borderId="1" xfId="0" applyFont="1" applyFill="1" applyBorder="1" applyAlignment="1" applyProtection="1">
      <alignment horizontal="left"/>
      <protection/>
    </xf>
    <xf numFmtId="164" fontId="19" fillId="0" borderId="1" xfId="0" applyNumberFormat="1" applyFont="1" applyFill="1" applyBorder="1" applyAlignment="1" applyProtection="1">
      <alignment horizontal="center"/>
      <protection/>
    </xf>
    <xf numFmtId="2" fontId="9" fillId="0" borderId="0" xfId="0" applyNumberFormat="1" applyFont="1" applyFill="1" applyAlignment="1">
      <alignment/>
    </xf>
    <xf numFmtId="173" fontId="0" fillId="0" borderId="0" xfId="0" applyNumberFormat="1" applyFill="1" applyAlignment="1">
      <alignment/>
    </xf>
    <xf numFmtId="164" fontId="26" fillId="0" borderId="1" xfId="0" applyNumberFormat="1" applyFont="1" applyFill="1" applyBorder="1" applyAlignment="1" applyProtection="1">
      <alignment horizontal="center"/>
      <protection/>
    </xf>
    <xf numFmtId="0" fontId="8" fillId="0" borderId="0" xfId="0" applyFont="1" applyFill="1" applyBorder="1" applyAlignment="1">
      <alignment/>
    </xf>
    <xf numFmtId="0" fontId="8" fillId="0" borderId="0" xfId="0" applyFont="1" applyFill="1" applyBorder="1" applyAlignment="1" applyProtection="1">
      <alignment horizontal="left"/>
      <protection/>
    </xf>
    <xf numFmtId="164" fontId="26" fillId="0" borderId="0" xfId="0" applyNumberFormat="1" applyFont="1" applyFill="1" applyBorder="1" applyAlignment="1" applyProtection="1">
      <alignment horizontal="center"/>
      <protection/>
    </xf>
    <xf numFmtId="0" fontId="9" fillId="0" borderId="0" xfId="0" applyFont="1" applyFill="1" applyAlignment="1">
      <alignment horizontal="right"/>
    </xf>
    <xf numFmtId="0" fontId="8" fillId="0" borderId="0" xfId="0" applyFont="1" applyFill="1" applyAlignment="1">
      <alignment/>
    </xf>
    <xf numFmtId="164" fontId="27" fillId="0" borderId="0" xfId="0" applyNumberFormat="1" applyFont="1" applyFill="1" applyBorder="1" applyAlignment="1" applyProtection="1">
      <alignment horizontal="right" vertical="center"/>
      <protection/>
    </xf>
    <xf numFmtId="0" fontId="4" fillId="0" borderId="1" xfId="0" applyFont="1" applyFill="1" applyBorder="1" applyAlignment="1">
      <alignment wrapText="1"/>
    </xf>
    <xf numFmtId="0" fontId="0" fillId="0" borderId="0" xfId="0" applyFill="1" applyBorder="1" applyAlignment="1">
      <alignment/>
    </xf>
    <xf numFmtId="0" fontId="5" fillId="0" borderId="0" xfId="0" applyFont="1" applyAlignment="1">
      <alignment/>
    </xf>
    <xf numFmtId="0" fontId="0" fillId="0" borderId="0" xfId="0" applyFont="1" applyAlignment="1">
      <alignment/>
    </xf>
    <xf numFmtId="164" fontId="9" fillId="0" borderId="1" xfId="0" applyNumberFormat="1" applyFont="1" applyBorder="1" applyAlignment="1" applyProtection="1">
      <alignment horizontal="center" vertical="top" wrapText="1"/>
      <protection/>
    </xf>
    <xf numFmtId="164" fontId="8" fillId="0" borderId="1" xfId="0" applyNumberFormat="1" applyFont="1" applyBorder="1" applyAlignment="1" applyProtection="1">
      <alignment horizontal="center"/>
      <protection/>
    </xf>
    <xf numFmtId="0" fontId="8" fillId="0" borderId="1" xfId="0" applyFont="1" applyBorder="1" applyAlignment="1">
      <alignment horizontal="center"/>
    </xf>
    <xf numFmtId="164" fontId="9" fillId="0" borderId="1" xfId="0" applyNumberFormat="1" applyFont="1" applyBorder="1" applyAlignment="1" applyProtection="1">
      <alignment horizontal="center"/>
      <protection/>
    </xf>
    <xf numFmtId="0" fontId="33" fillId="0" borderId="0" xfId="0" applyFont="1" applyBorder="1" applyAlignment="1">
      <alignment horizontal="center"/>
    </xf>
    <xf numFmtId="10" fontId="32" fillId="0" borderId="0" xfId="0" applyNumberFormat="1" applyFont="1" applyFill="1" applyBorder="1" applyAlignment="1" applyProtection="1">
      <alignment horizontal="left"/>
      <protection/>
    </xf>
    <xf numFmtId="2" fontId="32" fillId="0" borderId="0" xfId="0" applyNumberFormat="1" applyFont="1" applyBorder="1" applyAlignment="1">
      <alignment horizontal="center"/>
    </xf>
    <xf numFmtId="1" fontId="58" fillId="0" borderId="0" xfId="0" applyNumberFormat="1" applyFont="1" applyBorder="1" applyAlignment="1">
      <alignment horizontal="center"/>
    </xf>
    <xf numFmtId="164" fontId="19" fillId="0" borderId="0" xfId="0" applyNumberFormat="1" applyFont="1" applyBorder="1" applyAlignment="1" applyProtection="1">
      <alignment horizontal="right"/>
      <protection/>
    </xf>
    <xf numFmtId="2" fontId="19" fillId="0" borderId="0" xfId="0" applyNumberFormat="1" applyFont="1" applyBorder="1" applyAlignment="1">
      <alignment horizontal="right"/>
    </xf>
    <xf numFmtId="164" fontId="26" fillId="0" borderId="0" xfId="0" applyNumberFormat="1" applyFont="1" applyBorder="1" applyAlignment="1" applyProtection="1">
      <alignment horizontal="right"/>
      <protection/>
    </xf>
    <xf numFmtId="2" fontId="57" fillId="0" borderId="0" xfId="0" applyNumberFormat="1" applyFont="1" applyBorder="1" applyAlignment="1">
      <alignment horizontal="right"/>
    </xf>
    <xf numFmtId="2" fontId="9" fillId="0" borderId="0" xfId="0" applyNumberFormat="1" applyFont="1" applyBorder="1" applyAlignment="1">
      <alignment horizontal="center" wrapText="1"/>
    </xf>
    <xf numFmtId="0" fontId="9" fillId="0" borderId="0" xfId="0" applyFont="1" applyFill="1" applyBorder="1" applyAlignment="1" applyProtection="1">
      <alignment horizontal="center" wrapText="1"/>
      <protection/>
    </xf>
    <xf numFmtId="0" fontId="54" fillId="0" borderId="0" xfId="0" applyFont="1" applyBorder="1" applyAlignment="1">
      <alignment horizontal="center"/>
    </xf>
    <xf numFmtId="2" fontId="19" fillId="0" borderId="0" xfId="0" applyNumberFormat="1" applyFont="1" applyBorder="1" applyAlignment="1">
      <alignment/>
    </xf>
    <xf numFmtId="49" fontId="19" fillId="0" borderId="0" xfId="0" applyNumberFormat="1" applyFont="1" applyBorder="1" applyAlignment="1" quotePrefix="1">
      <alignment horizontal="right"/>
    </xf>
    <xf numFmtId="2" fontId="19" fillId="0" borderId="0" xfId="0" applyNumberFormat="1" applyFont="1" applyBorder="1" applyAlignment="1" quotePrefix="1">
      <alignment horizontal="right"/>
    </xf>
    <xf numFmtId="2" fontId="9" fillId="0" borderId="0" xfId="0" applyNumberFormat="1" applyFont="1" applyBorder="1" applyAlignment="1">
      <alignment/>
    </xf>
    <xf numFmtId="0" fontId="17" fillId="0" borderId="0" xfId="0" applyFont="1" applyBorder="1" applyAlignment="1">
      <alignment/>
    </xf>
    <xf numFmtId="0" fontId="20" fillId="0" borderId="43" xfId="0" applyFont="1" applyBorder="1" applyAlignment="1">
      <alignment/>
    </xf>
    <xf numFmtId="164" fontId="9" fillId="0" borderId="4" xfId="0" applyNumberFormat="1" applyFont="1" applyBorder="1" applyAlignment="1" applyProtection="1">
      <alignment horizontal="center" vertical="top"/>
      <protection/>
    </xf>
    <xf numFmtId="0" fontId="9" fillId="0" borderId="0" xfId="0" applyFont="1" applyBorder="1" applyAlignment="1">
      <alignment horizontal="center"/>
    </xf>
    <xf numFmtId="164" fontId="10" fillId="0" borderId="3" xfId="0" applyNumberFormat="1" applyFont="1" applyBorder="1" applyAlignment="1" applyProtection="1">
      <alignment horizontal="center" vertical="top"/>
      <protection/>
    </xf>
    <xf numFmtId="164" fontId="9" fillId="0" borderId="44" xfId="0" applyNumberFormat="1" applyFont="1" applyBorder="1" applyAlignment="1" applyProtection="1">
      <alignment horizontal="center" vertical="top"/>
      <protection/>
    </xf>
    <xf numFmtId="164" fontId="9" fillId="0" borderId="44" xfId="0" applyNumberFormat="1" applyFont="1" applyBorder="1" applyAlignment="1" applyProtection="1">
      <alignment horizontal="center" vertical="top" wrapText="1"/>
      <protection/>
    </xf>
    <xf numFmtId="164" fontId="9" fillId="0" borderId="0" xfId="0" applyNumberFormat="1" applyFont="1" applyAlignment="1" applyProtection="1">
      <alignment horizontal="center" vertical="top" wrapText="1"/>
      <protection/>
    </xf>
    <xf numFmtId="0" fontId="9" fillId="0" borderId="0" xfId="0" applyFont="1" applyAlignment="1">
      <alignment horizontal="center" vertical="top" wrapText="1"/>
    </xf>
    <xf numFmtId="0" fontId="10" fillId="0" borderId="4" xfId="0" applyFont="1" applyBorder="1" applyAlignment="1">
      <alignment horizontal="center" vertical="top"/>
    </xf>
    <xf numFmtId="0" fontId="7" fillId="0" borderId="0" xfId="0" applyFont="1" applyBorder="1" applyAlignment="1">
      <alignment horizontal="center"/>
    </xf>
    <xf numFmtId="164" fontId="10" fillId="0" borderId="4" xfId="0" applyNumberFormat="1" applyFont="1" applyBorder="1" applyAlignment="1" applyProtection="1">
      <alignment horizontal="center" vertical="top"/>
      <protection/>
    </xf>
    <xf numFmtId="164" fontId="9" fillId="0" borderId="1" xfId="0" applyNumberFormat="1" applyFont="1" applyBorder="1" applyAlignment="1" applyProtection="1">
      <alignment horizontal="center" vertical="top"/>
      <protection/>
    </xf>
    <xf numFmtId="0" fontId="10" fillId="0" borderId="0" xfId="0" applyFont="1" applyBorder="1" applyAlignment="1">
      <alignment horizontal="center" vertical="top"/>
    </xf>
    <xf numFmtId="0" fontId="14" fillId="0" borderId="0" xfId="0" applyFont="1" applyAlignment="1">
      <alignment horizontal="center" wrapText="1"/>
    </xf>
    <xf numFmtId="0" fontId="9" fillId="0" borderId="44"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15" fillId="0" borderId="0" xfId="0" applyFont="1" applyBorder="1" applyAlignment="1">
      <alignment horizontal="center" wrapText="1"/>
    </xf>
    <xf numFmtId="0" fontId="11" fillId="0" borderId="0" xfId="0" applyFont="1" applyAlignment="1">
      <alignment horizontal="center" wrapText="1"/>
    </xf>
    <xf numFmtId="0" fontId="10" fillId="0" borderId="0" xfId="0" applyFont="1" applyBorder="1" applyAlignment="1">
      <alignment horizontal="center"/>
    </xf>
    <xf numFmtId="0" fontId="11" fillId="0" borderId="0" xfId="0" applyFont="1" applyAlignment="1">
      <alignment horizontal="center" vertical="top"/>
    </xf>
    <xf numFmtId="0" fontId="10" fillId="0" borderId="0" xfId="0" applyFont="1" applyAlignment="1">
      <alignment horizontal="center" vertical="top"/>
    </xf>
    <xf numFmtId="0" fontId="10" fillId="0" borderId="0" xfId="0" applyNumberFormat="1" applyFont="1" applyBorder="1" applyAlignment="1" applyProtection="1">
      <alignment horizontal="left" vertical="center" wrapText="1"/>
      <protection/>
    </xf>
    <xf numFmtId="0" fontId="39" fillId="3" borderId="0" xfId="0" applyFont="1" applyFill="1" applyAlignment="1">
      <alignment horizontal="right"/>
    </xf>
    <xf numFmtId="0" fontId="15" fillId="0" borderId="0" xfId="0" applyFont="1" applyBorder="1" applyAlignment="1">
      <alignment horizontal="center"/>
    </xf>
    <xf numFmtId="0" fontId="9" fillId="0" borderId="1" xfId="0" applyFont="1" applyBorder="1" applyAlignment="1">
      <alignment horizontal="center" wrapText="1"/>
    </xf>
    <xf numFmtId="164" fontId="9" fillId="0" borderId="6" xfId="0" applyNumberFormat="1" applyFont="1" applyBorder="1" applyAlignment="1" applyProtection="1">
      <alignment horizontal="center" wrapText="1"/>
      <protection/>
    </xf>
    <xf numFmtId="0" fontId="15" fillId="0" borderId="0" xfId="0" applyFont="1" applyBorder="1" applyAlignment="1">
      <alignment horizontal="right"/>
    </xf>
    <xf numFmtId="0" fontId="12" fillId="0" borderId="0" xfId="0" applyFont="1" applyAlignment="1">
      <alignment horizontal="center" wrapText="1"/>
    </xf>
    <xf numFmtId="164" fontId="14" fillId="0" borderId="4" xfId="0" applyNumberFormat="1" applyFont="1" applyBorder="1" applyAlignment="1" applyProtection="1">
      <alignment horizontal="center" vertical="center" wrapText="1"/>
      <protection/>
    </xf>
    <xf numFmtId="0" fontId="10" fillId="0" borderId="0" xfId="0" applyFont="1" applyAlignment="1">
      <alignment horizontal="center" wrapText="1"/>
    </xf>
    <xf numFmtId="164" fontId="10" fillId="0" borderId="44" xfId="0" applyNumberFormat="1" applyFont="1" applyBorder="1" applyAlignment="1" applyProtection="1">
      <alignment horizontal="center" vertical="top" wrapText="1"/>
      <protection/>
    </xf>
    <xf numFmtId="164" fontId="10" fillId="0" borderId="0" xfId="0" applyNumberFormat="1" applyFont="1" applyAlignment="1" applyProtection="1">
      <alignment horizontal="center" vertical="top" wrapText="1"/>
      <protection/>
    </xf>
    <xf numFmtId="0" fontId="11" fillId="0" borderId="0" xfId="0" applyFont="1" applyAlignment="1">
      <alignment horizontal="center"/>
    </xf>
    <xf numFmtId="0" fontId="9" fillId="0" borderId="0" xfId="0" applyFont="1" applyAlignment="1">
      <alignment horizontal="center"/>
    </xf>
    <xf numFmtId="164" fontId="23" fillId="0" borderId="0" xfId="0" applyNumberFormat="1" applyFont="1" applyBorder="1" applyAlignment="1" applyProtection="1">
      <alignment horizontal="center"/>
      <protection/>
    </xf>
    <xf numFmtId="164" fontId="10" fillId="0" borderId="0" xfId="0" applyNumberFormat="1" applyFont="1" applyBorder="1" applyAlignment="1" applyProtection="1">
      <alignment horizontal="center"/>
      <protection/>
    </xf>
    <xf numFmtId="0" fontId="38" fillId="0" borderId="0" xfId="0" applyFont="1" applyBorder="1" applyAlignment="1">
      <alignment horizontal="center"/>
    </xf>
    <xf numFmtId="2" fontId="29" fillId="0" borderId="1" xfId="23" applyNumberFormat="1" applyFont="1" applyFill="1" applyBorder="1" applyAlignment="1" applyProtection="1">
      <alignment horizontal="center" vertical="center" wrapText="1"/>
      <protection/>
    </xf>
    <xf numFmtId="0" fontId="15" fillId="0" borderId="0" xfId="0" applyFont="1" applyAlignment="1">
      <alignment horizontal="center"/>
    </xf>
    <xf numFmtId="0" fontId="29" fillId="0" borderId="1" xfId="21" applyFont="1" applyBorder="1" applyAlignment="1">
      <alignment horizontal="center" vertical="center" wrapText="1"/>
      <protection/>
    </xf>
    <xf numFmtId="0" fontId="29" fillId="0" borderId="1" xfId="0" applyFont="1" applyBorder="1" applyAlignment="1">
      <alignment horizontal="center" vertical="top"/>
    </xf>
    <xf numFmtId="0" fontId="29" fillId="0" borderId="1" xfId="0" applyFont="1" applyBorder="1" applyAlignment="1">
      <alignment horizontal="center" vertical="top" wrapText="1"/>
    </xf>
    <xf numFmtId="0" fontId="81" fillId="0" borderId="44" xfId="0" applyFont="1" applyBorder="1" applyAlignment="1" applyProtection="1">
      <alignment horizontal="left" wrapText="1"/>
      <protection/>
    </xf>
    <xf numFmtId="164" fontId="54" fillId="0" borderId="1" xfId="0" applyNumberFormat="1" applyFont="1" applyBorder="1" applyAlignment="1" applyProtection="1">
      <alignment horizontal="center" vertical="top" wrapText="1"/>
      <protection/>
    </xf>
    <xf numFmtId="0" fontId="54" fillId="0" borderId="1" xfId="0" applyFont="1" applyBorder="1" applyAlignment="1">
      <alignment horizontal="center" vertical="top" wrapText="1"/>
    </xf>
    <xf numFmtId="164" fontId="76" fillId="0" borderId="1" xfId="0" applyNumberFormat="1" applyFont="1" applyBorder="1" applyAlignment="1" applyProtection="1">
      <alignment horizontal="center" vertical="top" wrapText="1"/>
      <protection/>
    </xf>
    <xf numFmtId="0" fontId="76" fillId="0" borderId="1" xfId="0" applyFont="1" applyBorder="1" applyAlignment="1">
      <alignment horizontal="center" vertical="top" wrapText="1"/>
    </xf>
    <xf numFmtId="164" fontId="54" fillId="0" borderId="45" xfId="0" applyNumberFormat="1" applyFont="1" applyBorder="1" applyAlignment="1" applyProtection="1">
      <alignment horizontal="center" vertical="top" wrapText="1"/>
      <protection/>
    </xf>
    <xf numFmtId="164" fontId="54" fillId="0" borderId="46" xfId="0" applyNumberFormat="1" applyFont="1" applyBorder="1" applyAlignment="1" applyProtection="1">
      <alignment horizontal="center" vertical="top" wrapText="1"/>
      <protection/>
    </xf>
    <xf numFmtId="0" fontId="11" fillId="0" borderId="0" xfId="0" applyFont="1" applyBorder="1" applyAlignment="1">
      <alignment horizontal="center" vertical="top"/>
    </xf>
    <xf numFmtId="0" fontId="8" fillId="0" borderId="0" xfId="0" applyFont="1" applyAlignment="1" applyProtection="1">
      <alignment horizontal="justify" vertical="center" wrapText="1"/>
      <protection/>
    </xf>
    <xf numFmtId="0" fontId="8" fillId="0" borderId="0" xfId="0" applyFont="1" applyAlignment="1">
      <alignment horizontal="justify" vertical="center" wrapText="1"/>
    </xf>
    <xf numFmtId="0" fontId="9" fillId="0" borderId="4" xfId="0" applyFont="1" applyBorder="1" applyAlignment="1">
      <alignment horizontal="center"/>
    </xf>
    <xf numFmtId="164" fontId="9" fillId="3" borderId="6" xfId="0" applyNumberFormat="1" applyFont="1" applyFill="1" applyBorder="1" applyAlignment="1" applyProtection="1">
      <alignment horizontal="center" vertical="center"/>
      <protection/>
    </xf>
    <xf numFmtId="164" fontId="9" fillId="3" borderId="3" xfId="0" applyNumberFormat="1" applyFont="1" applyFill="1" applyBorder="1" applyAlignment="1" applyProtection="1">
      <alignment horizontal="center" vertical="center"/>
      <protection/>
    </xf>
    <xf numFmtId="164" fontId="9" fillId="3" borderId="47" xfId="0" applyNumberFormat="1" applyFont="1" applyFill="1" applyBorder="1" applyAlignment="1" applyProtection="1">
      <alignment horizontal="center" vertical="center"/>
      <protection/>
    </xf>
    <xf numFmtId="0" fontId="8" fillId="0" borderId="44" xfId="0" applyFont="1" applyBorder="1" applyAlignment="1">
      <alignment horizontal="left" vertical="center" wrapText="1"/>
    </xf>
    <xf numFmtId="164" fontId="8" fillId="0" borderId="0" xfId="0" applyNumberFormat="1" applyFont="1" applyAlignment="1" applyProtection="1">
      <alignment horizontal="justify" vertical="center" wrapText="1"/>
      <protection/>
    </xf>
    <xf numFmtId="0" fontId="8" fillId="0" borderId="0" xfId="0" applyFont="1" applyAlignment="1">
      <alignment horizontal="left" vertical="top"/>
    </xf>
    <xf numFmtId="0" fontId="8" fillId="0" borderId="0" xfId="0" applyFont="1" applyBorder="1" applyAlignment="1">
      <alignment horizontal="justify" vertical="top" wrapText="1"/>
    </xf>
    <xf numFmtId="0" fontId="8" fillId="0" borderId="0" xfId="0" applyFont="1" applyAlignment="1">
      <alignment horizontal="justify" vertical="top" wrapText="1"/>
    </xf>
    <xf numFmtId="0" fontId="9" fillId="0" borderId="3" xfId="0" applyFont="1" applyBorder="1" applyAlignment="1">
      <alignment horizontal="center" vertical="center"/>
    </xf>
    <xf numFmtId="0" fontId="9" fillId="0" borderId="47" xfId="0" applyFont="1" applyBorder="1" applyAlignment="1">
      <alignment horizontal="center" vertical="center"/>
    </xf>
    <xf numFmtId="0" fontId="1" fillId="0" borderId="0" xfId="0" applyFont="1" applyAlignment="1">
      <alignment horizontal="left" wrapText="1"/>
    </xf>
    <xf numFmtId="0" fontId="15" fillId="0" borderId="0" xfId="0" applyFont="1" applyAlignment="1">
      <alignment horizontal="right"/>
    </xf>
    <xf numFmtId="164" fontId="8" fillId="0" borderId="1" xfId="0" applyNumberFormat="1" applyFont="1" applyBorder="1" applyAlignment="1" applyProtection="1">
      <alignment horizontal="center" vertical="center"/>
      <protection/>
    </xf>
    <xf numFmtId="0" fontId="6" fillId="0" borderId="0" xfId="0" applyFont="1" applyBorder="1" applyAlignment="1">
      <alignment horizontal="right"/>
    </xf>
    <xf numFmtId="2" fontId="21" fillId="0" borderId="0" xfId="0" applyNumberFormat="1" applyFont="1" applyBorder="1" applyAlignment="1">
      <alignment horizontal="center" wrapText="1"/>
    </xf>
    <xf numFmtId="0" fontId="21" fillId="0" borderId="0" xfId="0" applyFont="1" applyFill="1" applyBorder="1" applyAlignment="1" applyProtection="1">
      <alignment horizontal="center" wrapText="1"/>
      <protection/>
    </xf>
    <xf numFmtId="0" fontId="6" fillId="0" borderId="0" xfId="0" applyFont="1" applyBorder="1" applyAlignment="1">
      <alignment horizontal="center"/>
    </xf>
    <xf numFmtId="0" fontId="8" fillId="0" borderId="4" xfId="0" applyFont="1" applyBorder="1" applyAlignment="1">
      <alignment horizontal="right" wrapText="1"/>
    </xf>
    <xf numFmtId="164" fontId="27" fillId="0" borderId="0" xfId="0" applyNumberFormat="1" applyFont="1" applyBorder="1" applyAlignment="1" applyProtection="1">
      <alignment horizontal="right" vertical="center"/>
      <protection/>
    </xf>
    <xf numFmtId="0" fontId="26" fillId="0" borderId="48" xfId="0" applyFont="1" applyBorder="1" applyAlignment="1" applyProtection="1">
      <alignment horizontal="center" vertical="center"/>
      <protection/>
    </xf>
    <xf numFmtId="0" fontId="26" fillId="0" borderId="4" xfId="0" applyFont="1" applyBorder="1" applyAlignment="1" applyProtection="1">
      <alignment horizontal="center" vertical="center"/>
      <protection/>
    </xf>
    <xf numFmtId="0" fontId="26" fillId="0" borderId="49" xfId="0" applyFont="1" applyBorder="1" applyAlignment="1" applyProtection="1">
      <alignment horizontal="center" vertical="center"/>
      <protection/>
    </xf>
    <xf numFmtId="165" fontId="26" fillId="0" borderId="8" xfId="0" applyNumberFormat="1" applyFont="1" applyBorder="1" applyAlignment="1" applyProtection="1">
      <alignment horizontal="center" wrapText="1"/>
      <protection/>
    </xf>
    <xf numFmtId="165" fontId="26" fillId="0" borderId="9" xfId="0" applyNumberFormat="1" applyFont="1" applyBorder="1" applyAlignment="1" applyProtection="1">
      <alignment horizontal="center" wrapText="1"/>
      <protection/>
    </xf>
    <xf numFmtId="164" fontId="6" fillId="0" borderId="1" xfId="0" applyNumberFormat="1" applyFont="1" applyBorder="1" applyAlignment="1" applyProtection="1">
      <alignment horizontal="center" vertical="top" wrapText="1"/>
      <protection/>
    </xf>
    <xf numFmtId="0" fontId="8" fillId="0" borderId="14" xfId="0" applyFont="1" applyBorder="1" applyAlignment="1" applyProtection="1">
      <alignment horizontal="center"/>
      <protection/>
    </xf>
    <xf numFmtId="0" fontId="8" fillId="0" borderId="1" xfId="0" applyFont="1" applyBorder="1" applyAlignment="1" applyProtection="1">
      <alignment horizontal="center"/>
      <protection/>
    </xf>
    <xf numFmtId="0" fontId="25" fillId="0" borderId="50" xfId="0" applyFont="1" applyBorder="1" applyAlignment="1">
      <alignment horizontal="center"/>
    </xf>
    <xf numFmtId="0" fontId="25" fillId="0" borderId="7" xfId="0" applyFont="1" applyBorder="1" applyAlignment="1">
      <alignment horizontal="center"/>
    </xf>
    <xf numFmtId="0" fontId="25" fillId="0" borderId="51" xfId="0" applyFont="1" applyBorder="1" applyAlignment="1">
      <alignment horizontal="center"/>
    </xf>
    <xf numFmtId="164" fontId="8" fillId="0" borderId="1" xfId="0" applyNumberFormat="1" applyFont="1" applyBorder="1" applyAlignment="1" applyProtection="1">
      <alignment horizontal="center" wrapText="1"/>
      <protection/>
    </xf>
    <xf numFmtId="0" fontId="26" fillId="0" borderId="0" xfId="0" applyFont="1" applyAlignment="1">
      <alignment horizontal="left" wrapText="1"/>
    </xf>
    <xf numFmtId="0" fontId="25" fillId="0" borderId="0" xfId="0" applyFont="1" applyBorder="1" applyAlignment="1" applyProtection="1">
      <alignment horizontal="center"/>
      <protection/>
    </xf>
    <xf numFmtId="165" fontId="26" fillId="0" borderId="44" xfId="0" applyNumberFormat="1" applyFont="1" applyBorder="1" applyAlignment="1" applyProtection="1">
      <alignment horizontal="center"/>
      <protection/>
    </xf>
    <xf numFmtId="0" fontId="5" fillId="0" borderId="0" xfId="0" applyFont="1" applyAlignment="1">
      <alignment horizontal="center"/>
    </xf>
    <xf numFmtId="15" fontId="27" fillId="0" borderId="0" xfId="0" applyNumberFormat="1" applyFont="1" applyAlignment="1">
      <alignment horizontal="center" wrapText="1"/>
    </xf>
    <xf numFmtId="0" fontId="8" fillId="3" borderId="0" xfId="0" applyFont="1" applyFill="1" applyBorder="1" applyAlignment="1">
      <alignment horizontal="left" wrapText="1"/>
    </xf>
    <xf numFmtId="0" fontId="8" fillId="0" borderId="0" xfId="0" applyNumberFormat="1" applyFont="1" applyAlignment="1">
      <alignment horizontal="left" wrapText="1"/>
    </xf>
    <xf numFmtId="165" fontId="9" fillId="0" borderId="35" xfId="0" applyNumberFormat="1" applyFont="1" applyBorder="1" applyAlignment="1" applyProtection="1">
      <alignment horizontal="center" wrapText="1"/>
      <protection/>
    </xf>
    <xf numFmtId="0" fontId="9" fillId="0" borderId="35" xfId="0" applyFont="1" applyBorder="1" applyAlignment="1">
      <alignment horizontal="center"/>
    </xf>
    <xf numFmtId="0" fontId="8" fillId="3" borderId="0" xfId="0" applyFont="1" applyFill="1" applyAlignment="1">
      <alignment horizontal="left" wrapText="1"/>
    </xf>
    <xf numFmtId="0" fontId="9" fillId="0" borderId="34" xfId="0" applyFont="1" applyBorder="1" applyAlignment="1">
      <alignment horizontal="center" wrapText="1"/>
    </xf>
    <xf numFmtId="0" fontId="9" fillId="0" borderId="35" xfId="0" applyFont="1" applyBorder="1" applyAlignment="1">
      <alignment horizontal="center" wrapText="1"/>
    </xf>
    <xf numFmtId="0" fontId="8" fillId="0" borderId="0" xfId="0" applyFont="1" applyBorder="1" applyAlignment="1">
      <alignment horizontal="center" wrapText="1"/>
    </xf>
    <xf numFmtId="0" fontId="9" fillId="0" borderId="52" xfId="0" applyFont="1" applyBorder="1" applyAlignment="1" applyProtection="1">
      <alignment horizontal="center"/>
      <protection/>
    </xf>
    <xf numFmtId="0" fontId="9" fillId="0" borderId="34" xfId="0" applyFont="1" applyBorder="1" applyAlignment="1" applyProtection="1">
      <alignment horizontal="center"/>
      <protection/>
    </xf>
    <xf numFmtId="0" fontId="9" fillId="0" borderId="36" xfId="0" applyFont="1" applyBorder="1" applyAlignment="1" applyProtection="1">
      <alignment horizontal="center"/>
      <protection/>
    </xf>
    <xf numFmtId="0" fontId="9" fillId="0" borderId="35" xfId="0" applyFont="1" applyBorder="1" applyAlignment="1" applyProtection="1">
      <alignment horizontal="center"/>
      <protection/>
    </xf>
    <xf numFmtId="165" fontId="9" fillId="0" borderId="34" xfId="0" applyNumberFormat="1" applyFont="1" applyBorder="1" applyAlignment="1" applyProtection="1">
      <alignment horizontal="center" wrapText="1"/>
      <protection/>
    </xf>
    <xf numFmtId="0" fontId="9" fillId="0" borderId="53" xfId="0" applyFont="1" applyBorder="1" applyAlignment="1">
      <alignment horizontal="center" wrapText="1"/>
    </xf>
    <xf numFmtId="0" fontId="9" fillId="0" borderId="37" xfId="0" applyFont="1" applyBorder="1" applyAlignment="1">
      <alignment horizontal="center" wrapText="1"/>
    </xf>
    <xf numFmtId="0" fontId="9" fillId="0" borderId="54" xfId="0" applyFont="1" applyBorder="1" applyAlignment="1">
      <alignment horizontal="center" wrapText="1"/>
    </xf>
    <xf numFmtId="0" fontId="9" fillId="0" borderId="25" xfId="0" applyFont="1" applyBorder="1" applyAlignment="1">
      <alignment horizontal="center" wrapText="1"/>
    </xf>
    <xf numFmtId="0" fontId="9" fillId="0" borderId="18" xfId="0" applyFont="1" applyBorder="1" applyAlignment="1" applyProtection="1">
      <alignment horizontal="center"/>
      <protection/>
    </xf>
    <xf numFmtId="0" fontId="9" fillId="0" borderId="55"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1" xfId="0" applyFont="1" applyBorder="1" applyAlignment="1" applyProtection="1">
      <alignment horizontal="center"/>
      <protection/>
    </xf>
    <xf numFmtId="0" fontId="9" fillId="0" borderId="55" xfId="0" applyFont="1" applyBorder="1" applyAlignment="1">
      <alignment horizontal="center" wrapText="1"/>
    </xf>
    <xf numFmtId="0" fontId="9" fillId="0" borderId="21" xfId="0" applyFont="1" applyBorder="1" applyAlignment="1">
      <alignment horizontal="center" wrapText="1"/>
    </xf>
    <xf numFmtId="165" fontId="9" fillId="0" borderId="19" xfId="0" applyNumberFormat="1" applyFont="1" applyBorder="1" applyAlignment="1" applyProtection="1">
      <alignment horizontal="center" wrapText="1"/>
      <protection/>
    </xf>
    <xf numFmtId="165" fontId="9" fillId="0" borderId="2" xfId="0" applyNumberFormat="1" applyFont="1" applyBorder="1" applyAlignment="1" applyProtection="1">
      <alignment horizontal="center" wrapText="1"/>
      <protection/>
    </xf>
    <xf numFmtId="0" fontId="9" fillId="0" borderId="56" xfId="0" applyFont="1" applyBorder="1" applyAlignment="1">
      <alignment horizontal="center" wrapText="1"/>
    </xf>
    <xf numFmtId="0" fontId="9" fillId="0" borderId="28" xfId="0" applyFont="1" applyBorder="1" applyAlignment="1">
      <alignment horizontal="center" wrapText="1"/>
    </xf>
    <xf numFmtId="15" fontId="15" fillId="0" borderId="0" xfId="0" applyNumberFormat="1" applyFont="1" applyAlignment="1">
      <alignment horizontal="left" wrapText="1"/>
    </xf>
    <xf numFmtId="0" fontId="8" fillId="3" borderId="44" xfId="0" applyFont="1" applyFill="1" applyBorder="1" applyAlignment="1">
      <alignment horizontal="left" wrapText="1"/>
    </xf>
    <xf numFmtId="165" fontId="9" fillId="0" borderId="24" xfId="0" applyNumberFormat="1" applyFont="1" applyBorder="1" applyAlignment="1" applyProtection="1">
      <alignment horizontal="center" wrapText="1"/>
      <protection/>
    </xf>
    <xf numFmtId="0" fontId="9" fillId="0" borderId="20" xfId="0" applyFont="1" applyBorder="1" applyAlignment="1">
      <alignment horizontal="center"/>
    </xf>
    <xf numFmtId="0" fontId="9" fillId="0" borderId="2" xfId="0" applyFont="1" applyBorder="1" applyAlignment="1">
      <alignment horizontal="center"/>
    </xf>
    <xf numFmtId="0" fontId="4" fillId="0" borderId="0" xfId="0" applyFont="1" applyAlignment="1">
      <alignment horizontal="center"/>
    </xf>
    <xf numFmtId="0" fontId="49" fillId="3" borderId="41" xfId="0" applyFont="1" applyFill="1" applyBorder="1" applyAlignment="1" applyProtection="1">
      <alignment horizontal="center" wrapText="1"/>
      <protection/>
    </xf>
    <xf numFmtId="0" fontId="49" fillId="3" borderId="44" xfId="0" applyFont="1" applyFill="1" applyBorder="1" applyAlignment="1" applyProtection="1">
      <alignment horizontal="center" wrapText="1"/>
      <protection/>
    </xf>
    <xf numFmtId="0" fontId="49" fillId="3" borderId="45" xfId="0" applyFont="1" applyFill="1" applyBorder="1" applyAlignment="1" applyProtection="1">
      <alignment horizontal="center" wrapText="1"/>
      <protection/>
    </xf>
    <xf numFmtId="0" fontId="49" fillId="3" borderId="42" xfId="0" applyFont="1" applyFill="1" applyBorder="1" applyAlignment="1" applyProtection="1">
      <alignment horizontal="center" wrapText="1"/>
      <protection/>
    </xf>
    <xf numFmtId="0" fontId="49" fillId="3" borderId="4" xfId="0" applyFont="1" applyFill="1" applyBorder="1" applyAlignment="1" applyProtection="1">
      <alignment horizontal="center" wrapText="1"/>
      <protection/>
    </xf>
    <xf numFmtId="0" fontId="49" fillId="3" borderId="46" xfId="0" applyFont="1" applyFill="1" applyBorder="1" applyAlignment="1" applyProtection="1">
      <alignment horizontal="center" wrapText="1"/>
      <protection/>
    </xf>
    <xf numFmtId="164" fontId="27" fillId="0" borderId="0" xfId="0" applyNumberFormat="1" applyFont="1" applyFill="1" applyBorder="1" applyAlignment="1" applyProtection="1">
      <alignment horizontal="right" vertical="center"/>
      <protection/>
    </xf>
    <xf numFmtId="164" fontId="9" fillId="0" borderId="1" xfId="0" applyNumberFormat="1" applyFont="1" applyBorder="1" applyAlignment="1" applyProtection="1">
      <alignment horizontal="center" wrapText="1"/>
      <protection/>
    </xf>
    <xf numFmtId="0" fontId="66" fillId="0" borderId="0" xfId="0" applyFont="1" applyAlignment="1">
      <alignment horizontal="left"/>
    </xf>
    <xf numFmtId="0" fontId="9" fillId="0" borderId="44" xfId="0" applyFont="1" applyBorder="1" applyAlignment="1" applyProtection="1">
      <alignment horizontal="center"/>
      <protection/>
    </xf>
    <xf numFmtId="0" fontId="9" fillId="0" borderId="45"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57" xfId="0" applyFont="1" applyBorder="1" applyAlignment="1" applyProtection="1">
      <alignment horizontal="center"/>
      <protection/>
    </xf>
    <xf numFmtId="0" fontId="9" fillId="0" borderId="4" xfId="0" applyFont="1" applyBorder="1" applyAlignment="1" applyProtection="1">
      <alignment horizontal="center"/>
      <protection/>
    </xf>
    <xf numFmtId="0" fontId="9" fillId="0" borderId="46" xfId="0" applyFont="1" applyBorder="1" applyAlignment="1" applyProtection="1">
      <alignment horizontal="center"/>
      <protection/>
    </xf>
    <xf numFmtId="0" fontId="9" fillId="3" borderId="8" xfId="0" applyFont="1" applyFill="1" applyBorder="1" applyAlignment="1" applyProtection="1">
      <alignment horizontal="center"/>
      <protection/>
    </xf>
    <xf numFmtId="0" fontId="9" fillId="3" borderId="9" xfId="0" applyFont="1" applyFill="1" applyBorder="1" applyAlignment="1" applyProtection="1">
      <alignment horizontal="center"/>
      <protection/>
    </xf>
    <xf numFmtId="0" fontId="30" fillId="0" borderId="0" xfId="0" applyFont="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AP-RE-2005-06-Final-16.10.2006" xfId="21"/>
    <cellStyle name="Normal_CA-BREAK-UP-2005-06-FINAL-9-08-2005-Latest" xfId="22"/>
    <cellStyle name="Normal_SOF TFYP &amp; 2002-03(AP)"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yojana.nic.in/WINDOWS\Desktop\Miscellaneous\JA_SJ%2016.12.2004\ALL%20STATES\SIKKIM\Sikkim%2005-06%20(AP)\WINDOWS\Desktop\JA-SJ%20(06.11.2004)\ALL%20STATES\SIKKIM\Sikkim%2004-05%20(AP)\Sikkim%202004-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o(bsc)\shared\My%20Documents\SHARED\2000-01\Assam%202000-01\Assam%20200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o(bsc)\shared\My%20Documents\SHARED\2000-01\Manipur%202000-01\Manipur%20200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ro(bsc)\shared\My%20Documents\SHARED\2000-01\Tripura%202000-01\Tripura%20200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hhabra\my%20documents\My%20Documents%2021-11-01\States\2002-03\Har,Uttaran,UP,Raj-Hajel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hhabra\pree\My%20Documents%2024-01-02\States\2002-03\Madhya%20Pradesh%202002-03\SG's%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intrayojana.nic.in/WINDOWS\Desktop\JA_SJ%2016.12.2004\ALL%20STATES\SIKKIM\Sikkim%2005-06%20(AP)\WINDOWS\Desktop\JA-SJ%20(06.11.2004)\ALL%20STATES\SIKKIM\Sikkim%2004-05%20(AP)\Sikkim%202004-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intrayojana.nic.in/frmis1/sof1/Gadgil%20NCA/GADGIL-2007-08-FINAL(put%20up%20on%2019th%20J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f+10%nca"/>
      <sheetName val="sof+10% nca (F)"/>
      <sheetName val="ACA"/>
      <sheetName val="ACA (One Time)"/>
      <sheetName val="Comparative ACA"/>
      <sheetName val="sof-2004-05"/>
      <sheetName val="Annex-I"/>
      <sheetName val="Annex-II"/>
      <sheetName val="Structure"/>
      <sheetName val="Structure (%)"/>
      <sheetName val="Structure-%"/>
      <sheetName val="BC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XXXX"/>
      <sheetName val="Brief"/>
      <sheetName val="BCR1"/>
      <sheetName val="SOF1"/>
      <sheetName val="ARM Matrix"/>
      <sheetName val="BCR-Annex3"/>
      <sheetName val="Vari-Asssam"/>
      <sheetName val="Variation"/>
      <sheetName val="SOF2"/>
      <sheetName val="SOF-Annex1"/>
      <sheetName val="SOF99-00(Rev)"/>
      <sheetName val="SOF-Corex2000-01-Annex2"/>
      <sheetName val="CA-Others"/>
      <sheetName val="BCR3"/>
      <sheetName val="SOF3"/>
      <sheetName val="Appd.SOF"/>
      <sheetName val="Realisation-Xplan"/>
      <sheetName val="SOF_2"/>
      <sheetName val="BCR_2"/>
      <sheetName val="SOF"/>
      <sheetName val="annex III"/>
      <sheetName val="annexII"/>
      <sheetName val="annexI"/>
      <sheetName val="REAL-NINTH-TENTH"/>
      <sheetName val="SOF02-03_Appd."/>
      <sheetName val="TS Indi. Tripura"/>
    </sheetNames>
    <sheetDataSet>
      <sheetData sheetId="5">
        <row r="3">
          <cell r="C3" t="str">
            <v>Items</v>
          </cell>
          <cell r="D3" t="str">
            <v>9th Plan 1997-2002</v>
          </cell>
          <cell r="E3" t="str">
            <v>1997-98</v>
          </cell>
          <cell r="G3" t="str">
            <v>1998-99</v>
          </cell>
          <cell r="I3" t="str">
            <v>1999-2000</v>
          </cell>
        </row>
        <row r="4">
          <cell r="D4" t="str">
            <v>Projections</v>
          </cell>
          <cell r="E4" t="str">
            <v>AP</v>
          </cell>
          <cell r="F4" t="str">
            <v>Actuals</v>
          </cell>
          <cell r="G4" t="str">
            <v>AP</v>
          </cell>
          <cell r="H4" t="str">
            <v>PA</v>
          </cell>
          <cell r="I4" t="str">
            <v>AP</v>
          </cell>
          <cell r="J4" t="str">
            <v>LE</v>
          </cell>
        </row>
        <row r="5">
          <cell r="A5" t="str">
            <v>(i)</v>
          </cell>
          <cell r="D5" t="str">
            <v>(ii)</v>
          </cell>
          <cell r="E5" t="str">
            <v>(iii)</v>
          </cell>
          <cell r="F5" t="str">
            <v>(iv)</v>
          </cell>
          <cell r="G5" t="str">
            <v>(v)</v>
          </cell>
          <cell r="H5" t="str">
            <v>(vi)</v>
          </cell>
          <cell r="I5" t="str">
            <v>(vii)</v>
          </cell>
          <cell r="J5" t="str">
            <v>(viii)</v>
          </cell>
        </row>
        <row r="6">
          <cell r="A6" t="str">
            <v>I.</v>
          </cell>
          <cell r="B6" t="str">
            <v>REVENUE RECEIPTS (1 to 4)</v>
          </cell>
          <cell r="D6">
            <v>13817.37</v>
          </cell>
          <cell r="E6">
            <v>2879.53</v>
          </cell>
          <cell r="F6">
            <v>3077.73</v>
          </cell>
          <cell r="G6">
            <v>3662.31</v>
          </cell>
          <cell r="H6">
            <v>3062.45</v>
          </cell>
          <cell r="I6">
            <v>3701.6</v>
          </cell>
          <cell r="J6">
            <v>3426.21</v>
          </cell>
        </row>
        <row r="7">
          <cell r="B7" t="str">
            <v>1.</v>
          </cell>
          <cell r="C7" t="str">
            <v>Tax Revenues</v>
          </cell>
          <cell r="D7">
            <v>11488.97</v>
          </cell>
          <cell r="E7">
            <v>2313.8</v>
          </cell>
          <cell r="F7">
            <v>2387.61</v>
          </cell>
          <cell r="G7">
            <v>2753.35</v>
          </cell>
          <cell r="H7">
            <v>2407.17</v>
          </cell>
          <cell r="I7">
            <v>2993.69</v>
          </cell>
          <cell r="J7">
            <v>2806.41</v>
          </cell>
        </row>
        <row r="8">
          <cell r="B8" t="str">
            <v>1.1</v>
          </cell>
          <cell r="C8" t="str">
            <v>Share of Central Taxes</v>
          </cell>
          <cell r="D8">
            <v>6868.61</v>
          </cell>
          <cell r="E8">
            <v>1397.89</v>
          </cell>
          <cell r="F8">
            <v>1475.25</v>
          </cell>
          <cell r="G8">
            <v>1627.33</v>
          </cell>
          <cell r="H8">
            <v>1349.33</v>
          </cell>
          <cell r="I8">
            <v>1480.42</v>
          </cell>
          <cell r="J8">
            <v>1627.33</v>
          </cell>
        </row>
        <row r="9">
          <cell r="B9" t="str">
            <v>1.2</v>
          </cell>
          <cell r="C9" t="str">
            <v>State Tax Revenue at base level rates</v>
          </cell>
          <cell r="D9">
            <v>4620.36</v>
          </cell>
          <cell r="E9">
            <v>915.91</v>
          </cell>
          <cell r="F9">
            <v>912.36</v>
          </cell>
          <cell r="G9">
            <v>1126.02</v>
          </cell>
          <cell r="H9">
            <v>1057.84</v>
          </cell>
          <cell r="I9">
            <v>1513.27</v>
          </cell>
          <cell r="J9">
            <v>1179.08</v>
          </cell>
        </row>
        <row r="10">
          <cell r="B10" t="str">
            <v>2.</v>
          </cell>
          <cell r="C10" t="str">
            <v>Non-Tax Revenue</v>
          </cell>
          <cell r="D10">
            <v>1579.06</v>
          </cell>
          <cell r="E10">
            <v>376.67</v>
          </cell>
          <cell r="F10">
            <v>381.2</v>
          </cell>
          <cell r="G10">
            <v>365.85</v>
          </cell>
          <cell r="H10">
            <v>371.39</v>
          </cell>
          <cell r="I10">
            <v>371.71</v>
          </cell>
          <cell r="J10">
            <v>389.7</v>
          </cell>
        </row>
        <row r="11">
          <cell r="B11" t="str">
            <v>3.</v>
          </cell>
          <cell r="C11" t="str">
            <v>Grants from Centre (Non-Plan)</v>
          </cell>
          <cell r="D11">
            <v>749.34</v>
          </cell>
          <cell r="E11">
            <v>189.06</v>
          </cell>
          <cell r="F11">
            <v>308.92</v>
          </cell>
          <cell r="G11">
            <v>543.11</v>
          </cell>
          <cell r="H11">
            <v>283.89</v>
          </cell>
          <cell r="I11">
            <v>336.2</v>
          </cell>
          <cell r="J11">
            <v>230.1</v>
          </cell>
        </row>
        <row r="12">
          <cell r="C12" t="str">
            <v>a) Revenue Gap Grant</v>
          </cell>
          <cell r="E12">
            <v>92.08</v>
          </cell>
          <cell r="F12">
            <v>92.08</v>
          </cell>
          <cell r="G12">
            <v>27.81</v>
          </cell>
          <cell r="H12">
            <v>27.81</v>
          </cell>
          <cell r="I12">
            <v>0</v>
          </cell>
          <cell r="J12">
            <v>0</v>
          </cell>
        </row>
        <row r="13">
          <cell r="C13" t="str">
            <v>b) Grants for Natural Calamities</v>
          </cell>
          <cell r="E13">
            <v>39.58</v>
          </cell>
          <cell r="F13">
            <v>39.58</v>
          </cell>
          <cell r="G13">
            <v>41.6</v>
          </cell>
          <cell r="H13">
            <v>101.5</v>
          </cell>
          <cell r="I13">
            <v>43.37</v>
          </cell>
          <cell r="J13">
            <v>43.37</v>
          </cell>
        </row>
        <row r="14">
          <cell r="C14" t="str">
            <v>c) Grants in lieu of tax on Railways fares</v>
          </cell>
          <cell r="E14">
            <v>5.2</v>
          </cell>
          <cell r="F14">
            <v>5.2</v>
          </cell>
          <cell r="G14">
            <v>5.2</v>
          </cell>
          <cell r="H14">
            <v>5.2</v>
          </cell>
          <cell r="I14">
            <v>5.2</v>
          </cell>
          <cell r="J14">
            <v>5.2</v>
          </cell>
        </row>
        <row r="15">
          <cell r="C15" t="str">
            <v>d) Agricultural Wealth Tax</v>
          </cell>
          <cell r="E15">
            <v>0</v>
          </cell>
          <cell r="F15">
            <v>0</v>
          </cell>
          <cell r="G15">
            <v>0</v>
          </cell>
          <cell r="H15">
            <v>0</v>
          </cell>
          <cell r="I15">
            <v>0</v>
          </cell>
          <cell r="J15">
            <v>0</v>
          </cell>
        </row>
        <row r="16">
          <cell r="C16" t="str">
            <v>e) Others,if any</v>
          </cell>
          <cell r="E16">
            <v>52.2</v>
          </cell>
          <cell r="F16">
            <v>172.06</v>
          </cell>
          <cell r="G16">
            <v>468.5</v>
          </cell>
          <cell r="H16">
            <v>149.38</v>
          </cell>
          <cell r="I16">
            <v>287.63</v>
          </cell>
          <cell r="J16">
            <v>181.53</v>
          </cell>
        </row>
        <row r="17">
          <cell r="B17" t="str">
            <v>4.</v>
          </cell>
          <cell r="C17" t="str">
            <v>Transfer from funds</v>
          </cell>
          <cell r="D17">
            <v>0</v>
          </cell>
          <cell r="E17">
            <v>0</v>
          </cell>
          <cell r="F17">
            <v>0</v>
          </cell>
          <cell r="G17">
            <v>0</v>
          </cell>
          <cell r="H17">
            <v>0</v>
          </cell>
          <cell r="I17">
            <v>0</v>
          </cell>
          <cell r="J17">
            <v>0</v>
          </cell>
        </row>
        <row r="18">
          <cell r="A18" t="str">
            <v>II.</v>
          </cell>
          <cell r="B18" t="str">
            <v>NON-PLAN REVENUE EXPENDITURE (1 to 5)</v>
          </cell>
          <cell r="D18">
            <v>15032.39</v>
          </cell>
          <cell r="E18">
            <v>3427.32</v>
          </cell>
          <cell r="F18">
            <v>3065.52</v>
          </cell>
          <cell r="G18">
            <v>4057.55</v>
          </cell>
          <cell r="H18">
            <v>3099.36</v>
          </cell>
          <cell r="I18">
            <v>4533.88</v>
          </cell>
          <cell r="J18">
            <v>4784.58</v>
          </cell>
        </row>
        <row r="19">
          <cell r="B19" t="str">
            <v>1.</v>
          </cell>
          <cell r="C19" t="str">
            <v>Non-Plan Non-development(Total a+b)</v>
          </cell>
          <cell r="D19">
            <v>6865.39</v>
          </cell>
          <cell r="E19">
            <v>1536.3</v>
          </cell>
          <cell r="F19">
            <v>1589.9</v>
          </cell>
          <cell r="G19">
            <v>1824.9</v>
          </cell>
          <cell r="H19">
            <v>1396.45</v>
          </cell>
          <cell r="I19">
            <v>1972.13</v>
          </cell>
          <cell r="J19">
            <v>2406.13</v>
          </cell>
        </row>
        <row r="20">
          <cell r="B20" t="str">
            <v>a)</v>
          </cell>
          <cell r="C20" t="str">
            <v>Debt Services Total (i+ii)</v>
          </cell>
          <cell r="D20">
            <v>2786</v>
          </cell>
          <cell r="E20">
            <v>596.82</v>
          </cell>
          <cell r="F20">
            <v>638.93</v>
          </cell>
          <cell r="G20">
            <v>715</v>
          </cell>
          <cell r="H20">
            <v>325.22</v>
          </cell>
          <cell r="I20">
            <v>813.64</v>
          </cell>
          <cell r="J20">
            <v>861.77</v>
          </cell>
        </row>
        <row r="21">
          <cell r="C21" t="str">
            <v>    i)  Interest Payments</v>
          </cell>
          <cell r="D21">
            <v>2786</v>
          </cell>
          <cell r="E21">
            <v>596.82</v>
          </cell>
          <cell r="F21">
            <v>638.93</v>
          </cell>
          <cell r="G21">
            <v>715</v>
          </cell>
          <cell r="H21">
            <v>325.22</v>
          </cell>
          <cell r="I21">
            <v>813.64</v>
          </cell>
          <cell r="J21">
            <v>861.77</v>
          </cell>
        </row>
        <row r="22">
          <cell r="C22" t="str">
            <v>   ii) Appropriation for reduction or avoidance of debt</v>
          </cell>
          <cell r="D22">
            <v>0</v>
          </cell>
          <cell r="E22">
            <v>0</v>
          </cell>
          <cell r="F22">
            <v>0</v>
          </cell>
          <cell r="G22">
            <v>0</v>
          </cell>
          <cell r="H22">
            <v>0</v>
          </cell>
          <cell r="I22">
            <v>0</v>
          </cell>
          <cell r="J22">
            <v>0</v>
          </cell>
        </row>
        <row r="23">
          <cell r="B23" t="str">
            <v>b)</v>
          </cell>
          <cell r="C23" t="str">
            <v>Other Non-development</v>
          </cell>
          <cell r="D23">
            <v>4079.39</v>
          </cell>
          <cell r="E23">
            <v>939.48</v>
          </cell>
          <cell r="F23">
            <v>950.97</v>
          </cell>
          <cell r="G23">
            <v>1109.9</v>
          </cell>
          <cell r="H23">
            <v>1071.23</v>
          </cell>
          <cell r="I23">
            <v>1158.49</v>
          </cell>
          <cell r="J23">
            <v>1544.36</v>
          </cell>
        </row>
        <row r="24">
          <cell r="B24" t="str">
            <v>2.</v>
          </cell>
          <cell r="C24" t="str">
            <v>Non-Plan Development</v>
          </cell>
          <cell r="D24">
            <v>6574</v>
          </cell>
          <cell r="E24">
            <v>1526.02</v>
          </cell>
          <cell r="F24">
            <v>1475.62</v>
          </cell>
          <cell r="G24">
            <v>1632.65</v>
          </cell>
          <cell r="H24">
            <v>1702.91</v>
          </cell>
          <cell r="I24">
            <v>1974.75</v>
          </cell>
          <cell r="J24">
            <v>2378.45</v>
          </cell>
        </row>
        <row r="25">
          <cell r="B25" t="str">
            <v>3.</v>
          </cell>
          <cell r="C25" t="str">
            <v>Transfer of funds</v>
          </cell>
          <cell r="D25">
            <v>0</v>
          </cell>
          <cell r="E25">
            <v>0</v>
          </cell>
          <cell r="F25">
            <v>0</v>
          </cell>
          <cell r="G25">
            <v>0</v>
          </cell>
          <cell r="H25">
            <v>0</v>
          </cell>
          <cell r="I25">
            <v>0</v>
          </cell>
          <cell r="J25">
            <v>0</v>
          </cell>
        </row>
        <row r="26">
          <cell r="B26" t="str">
            <v>4.</v>
          </cell>
          <cell r="C26" t="str">
            <v>Revision of DA and pay scales, bonus etc. not included under above items (in respect of Non-Plan Expenditure)</v>
          </cell>
          <cell r="D26">
            <v>1593</v>
          </cell>
          <cell r="E26">
            <v>365</v>
          </cell>
          <cell r="F26">
            <v>0</v>
          </cell>
          <cell r="G26">
            <v>600</v>
          </cell>
          <cell r="H26">
            <v>0</v>
          </cell>
          <cell r="I26">
            <v>587</v>
          </cell>
          <cell r="J26">
            <v>0</v>
          </cell>
        </row>
        <row r="27">
          <cell r="B27" t="str">
            <v>5.</v>
          </cell>
          <cell r="C27" t="str">
            <v>Committed liability</v>
          </cell>
          <cell r="D27">
            <v>0</v>
          </cell>
          <cell r="E27">
            <v>0</v>
          </cell>
          <cell r="F27">
            <v>0</v>
          </cell>
          <cell r="G27">
            <v>0</v>
          </cell>
          <cell r="H27">
            <v>0</v>
          </cell>
          <cell r="I27">
            <v>0</v>
          </cell>
          <cell r="J27">
            <v>0</v>
          </cell>
        </row>
        <row r="28">
          <cell r="A28" t="str">
            <v>III.</v>
          </cell>
          <cell r="B28" t="str">
            <v>BCR with ARM (I-II)</v>
          </cell>
          <cell r="D28">
            <v>-1215.02</v>
          </cell>
          <cell r="E28">
            <v>-547.79</v>
          </cell>
          <cell r="F28">
            <v>12.21</v>
          </cell>
          <cell r="G28">
            <v>-395.24</v>
          </cell>
          <cell r="H28">
            <v>-36.91</v>
          </cell>
          <cell r="I28">
            <v>-832.28</v>
          </cell>
          <cell r="J28">
            <v>-1358.37</v>
          </cell>
        </row>
        <row r="29">
          <cell r="B29" t="str">
            <v>    -  Of which ARM</v>
          </cell>
          <cell r="D29" t="str">
            <v>(0.00)</v>
          </cell>
          <cell r="E29">
            <v>0</v>
          </cell>
          <cell r="F29">
            <v>30.44</v>
          </cell>
          <cell r="G29">
            <v>176.71</v>
          </cell>
          <cell r="H29">
            <v>38.15</v>
          </cell>
          <cell r="I29">
            <v>215</v>
          </cell>
          <cell r="J29">
            <v>2.92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XXXXXXX"/>
      <sheetName val="Brief"/>
      <sheetName val="BCR1"/>
      <sheetName val="SOF1"/>
      <sheetName val="ARM Matrix"/>
      <sheetName val="BCR-Annex3"/>
      <sheetName val="Vari-Mani"/>
      <sheetName val="SOF2"/>
      <sheetName val="SOF-Annex1"/>
      <sheetName val="SOF-Corex2000-01-Annex2"/>
      <sheetName val="CA-Others"/>
      <sheetName val="SOF3"/>
      <sheetName val="BCR3"/>
      <sheetName val="Appd.SOF"/>
      <sheetName val="Cht data"/>
      <sheetName val="SOF99-00 Revised"/>
    </sheetNames>
    <sheetDataSet>
      <sheetData sheetId="5">
        <row r="3">
          <cell r="C3" t="str">
            <v>Items</v>
          </cell>
          <cell r="D3" t="str">
            <v>9th Plan 1997-2002</v>
          </cell>
          <cell r="E3" t="str">
            <v>1997-98</v>
          </cell>
          <cell r="G3" t="str">
            <v>1998-99</v>
          </cell>
          <cell r="I3" t="str">
            <v>1999-2000</v>
          </cell>
        </row>
        <row r="4">
          <cell r="D4" t="str">
            <v>Projections</v>
          </cell>
          <cell r="E4" t="str">
            <v>AP</v>
          </cell>
          <cell r="F4" t="str">
            <v>Actuals</v>
          </cell>
          <cell r="G4" t="str">
            <v>AP</v>
          </cell>
          <cell r="H4" t="str">
            <v>PA</v>
          </cell>
          <cell r="I4" t="str">
            <v>AP</v>
          </cell>
          <cell r="J4" t="str">
            <v>LE</v>
          </cell>
        </row>
        <row r="5">
          <cell r="A5" t="str">
            <v>(i)</v>
          </cell>
          <cell r="D5" t="str">
            <v>(ii)</v>
          </cell>
          <cell r="E5" t="str">
            <v>(iii)</v>
          </cell>
          <cell r="F5" t="str">
            <v>(iv)</v>
          </cell>
          <cell r="G5" t="str">
            <v>(v)</v>
          </cell>
          <cell r="H5" t="str">
            <v>(vi)</v>
          </cell>
          <cell r="I5" t="str">
            <v>(vii)</v>
          </cell>
          <cell r="J5" t="str">
            <v>(viii)</v>
          </cell>
        </row>
        <row r="6">
          <cell r="A6" t="str">
            <v>I.</v>
          </cell>
          <cell r="B6" t="str">
            <v>REVENUE RECEIPTS (1 to 4)</v>
          </cell>
          <cell r="D6">
            <v>2473.13</v>
          </cell>
          <cell r="E6">
            <v>443.87</v>
          </cell>
          <cell r="F6">
            <v>376.91</v>
          </cell>
          <cell r="G6">
            <v>497.34</v>
          </cell>
          <cell r="H6">
            <v>404.15</v>
          </cell>
          <cell r="I6">
            <v>523.07</v>
          </cell>
          <cell r="J6">
            <v>454.86</v>
          </cell>
        </row>
        <row r="7">
          <cell r="B7" t="str">
            <v>1.</v>
          </cell>
          <cell r="C7" t="str">
            <v>Tax Revenues</v>
          </cell>
          <cell r="D7">
            <v>2050.88</v>
          </cell>
          <cell r="E7">
            <v>358.2</v>
          </cell>
          <cell r="F7">
            <v>346.54</v>
          </cell>
          <cell r="G7">
            <v>421.47</v>
          </cell>
          <cell r="H7">
            <v>362.43</v>
          </cell>
          <cell r="I7">
            <v>485.66</v>
          </cell>
          <cell r="J7">
            <v>459.34</v>
          </cell>
        </row>
        <row r="8">
          <cell r="B8" t="str">
            <v>1.1</v>
          </cell>
          <cell r="C8" t="str">
            <v>Share of Central Taxes</v>
          </cell>
          <cell r="D8">
            <v>1849.95</v>
          </cell>
          <cell r="E8">
            <v>321.5</v>
          </cell>
          <cell r="F8">
            <v>310.82</v>
          </cell>
          <cell r="G8">
            <v>371.34</v>
          </cell>
          <cell r="H8">
            <v>331.68</v>
          </cell>
          <cell r="I8">
            <v>388.49</v>
          </cell>
          <cell r="J8">
            <v>388.49</v>
          </cell>
        </row>
        <row r="9">
          <cell r="B9" t="str">
            <v>1.2</v>
          </cell>
          <cell r="C9" t="str">
            <v>State Tax Revenue at base level rates</v>
          </cell>
          <cell r="D9">
            <v>200.93</v>
          </cell>
          <cell r="E9">
            <v>36.7</v>
          </cell>
          <cell r="F9">
            <v>35.72</v>
          </cell>
          <cell r="G9">
            <v>50.13</v>
          </cell>
          <cell r="H9">
            <v>30.75</v>
          </cell>
          <cell r="I9">
            <v>97.17</v>
          </cell>
          <cell r="J9">
            <v>70.85</v>
          </cell>
        </row>
        <row r="10">
          <cell r="B10" t="str">
            <v>2.</v>
          </cell>
          <cell r="C10" t="str">
            <v>Non-Tax Revenue</v>
          </cell>
          <cell r="D10">
            <v>226.51</v>
          </cell>
          <cell r="E10">
            <v>31.96</v>
          </cell>
          <cell r="F10">
            <v>-28.62</v>
          </cell>
          <cell r="G10">
            <v>54.33</v>
          </cell>
          <cell r="H10">
            <v>-10.57</v>
          </cell>
          <cell r="I10">
            <v>7.38</v>
          </cell>
          <cell r="J10">
            <v>-39.54</v>
          </cell>
        </row>
        <row r="11">
          <cell r="B11" t="str">
            <v>3.</v>
          </cell>
          <cell r="C11" t="str">
            <v>Grants from Centre (Non-Plan) #</v>
          </cell>
          <cell r="D11">
            <v>195.74</v>
          </cell>
          <cell r="E11">
            <v>53.71</v>
          </cell>
          <cell r="F11">
            <v>58.99</v>
          </cell>
          <cell r="G11">
            <v>21.54</v>
          </cell>
          <cell r="H11">
            <v>52.29</v>
          </cell>
          <cell r="I11">
            <v>30.03</v>
          </cell>
          <cell r="J11">
            <v>35.06</v>
          </cell>
        </row>
        <row r="12">
          <cell r="C12" t="str">
            <v>a) Revenue Gap Grant</v>
          </cell>
          <cell r="D12">
            <v>183.04</v>
          </cell>
          <cell r="E12">
            <v>51.31</v>
          </cell>
          <cell r="F12">
            <v>51.31</v>
          </cell>
          <cell r="G12">
            <v>17.9</v>
          </cell>
          <cell r="H12">
            <v>17.9</v>
          </cell>
          <cell r="I12">
            <v>0</v>
          </cell>
          <cell r="J12">
            <v>0</v>
          </cell>
        </row>
        <row r="13">
          <cell r="C13" t="str">
            <v>b) Grants for Natural Calamities</v>
          </cell>
          <cell r="D13">
            <v>8.56</v>
          </cell>
          <cell r="E13">
            <v>1.96</v>
          </cell>
          <cell r="F13">
            <v>1.96</v>
          </cell>
          <cell r="G13">
            <v>2.06</v>
          </cell>
          <cell r="H13">
            <v>2.06</v>
          </cell>
          <cell r="I13">
            <v>2.15</v>
          </cell>
          <cell r="J13">
            <v>2.15</v>
          </cell>
        </row>
        <row r="14">
          <cell r="C14" t="str">
            <v>c) Grants in lieu of tax on Railways fares</v>
          </cell>
          <cell r="D14">
            <v>0.56</v>
          </cell>
          <cell r="E14">
            <v>0.1</v>
          </cell>
          <cell r="F14">
            <v>0.07</v>
          </cell>
          <cell r="G14">
            <v>0.07</v>
          </cell>
          <cell r="H14">
            <v>0.07</v>
          </cell>
          <cell r="I14">
            <v>0.07</v>
          </cell>
          <cell r="J14">
            <v>0.07</v>
          </cell>
        </row>
        <row r="15">
          <cell r="C15" t="str">
            <v>d) Agricultural Wealth Tax</v>
          </cell>
          <cell r="D15">
            <v>0</v>
          </cell>
          <cell r="E15">
            <v>0</v>
          </cell>
          <cell r="F15">
            <v>0</v>
          </cell>
          <cell r="G15">
            <v>0</v>
          </cell>
          <cell r="H15">
            <v>0</v>
          </cell>
          <cell r="I15">
            <v>0</v>
          </cell>
          <cell r="J15">
            <v>0</v>
          </cell>
        </row>
        <row r="16">
          <cell r="C16" t="str">
            <v>e) Others,if any</v>
          </cell>
          <cell r="D16">
            <v>3.58</v>
          </cell>
          <cell r="E16">
            <v>0.34</v>
          </cell>
          <cell r="F16">
            <v>5.65</v>
          </cell>
          <cell r="G16">
            <v>1.51</v>
          </cell>
          <cell r="H16">
            <v>32.26</v>
          </cell>
          <cell r="I16">
            <v>27.81</v>
          </cell>
          <cell r="J16">
            <v>32.84</v>
          </cell>
        </row>
        <row r="17">
          <cell r="B17" t="str">
            <v>4.</v>
          </cell>
          <cell r="C17" t="str">
            <v>Transfer from funds</v>
          </cell>
          <cell r="D17">
            <v>0</v>
          </cell>
          <cell r="E17">
            <v>0</v>
          </cell>
          <cell r="F17">
            <v>0</v>
          </cell>
          <cell r="G17">
            <v>0</v>
          </cell>
          <cell r="H17">
            <v>0</v>
          </cell>
          <cell r="I17">
            <v>0</v>
          </cell>
          <cell r="J17">
            <v>0</v>
          </cell>
        </row>
        <row r="18">
          <cell r="A18" t="str">
            <v>II.</v>
          </cell>
          <cell r="B18" t="str">
            <v>NON-PLAN REVENUE EXPENDITURE (1 to 5)</v>
          </cell>
          <cell r="D18">
            <v>2770.93</v>
          </cell>
          <cell r="E18">
            <v>556.8</v>
          </cell>
          <cell r="F18">
            <v>536.51</v>
          </cell>
          <cell r="G18">
            <v>749.06</v>
          </cell>
          <cell r="H18">
            <v>566.3</v>
          </cell>
          <cell r="I18">
            <v>840.49</v>
          </cell>
          <cell r="J18">
            <v>948.37</v>
          </cell>
        </row>
        <row r="19">
          <cell r="B19" t="str">
            <v>1.</v>
          </cell>
          <cell r="C19" t="str">
            <v>Non-Plan Non-development(Total a+b)</v>
          </cell>
          <cell r="D19">
            <v>1255.25</v>
          </cell>
          <cell r="E19">
            <v>247.26</v>
          </cell>
          <cell r="F19">
            <v>274.03</v>
          </cell>
          <cell r="G19">
            <v>279.06</v>
          </cell>
          <cell r="H19">
            <v>285.9</v>
          </cell>
          <cell r="I19">
            <v>328.51</v>
          </cell>
          <cell r="J19">
            <v>418.06</v>
          </cell>
        </row>
        <row r="20">
          <cell r="B20" t="str">
            <v>a)</v>
          </cell>
          <cell r="C20" t="str">
            <v>Debt Services Total (i+ii)</v>
          </cell>
          <cell r="D20">
            <v>424.72</v>
          </cell>
          <cell r="E20">
            <v>74.68</v>
          </cell>
          <cell r="F20">
            <v>78.9</v>
          </cell>
          <cell r="G20">
            <v>84.5</v>
          </cell>
          <cell r="H20">
            <v>91.28</v>
          </cell>
          <cell r="I20">
            <v>94.02</v>
          </cell>
          <cell r="J20">
            <v>98.72</v>
          </cell>
        </row>
        <row r="21">
          <cell r="C21" t="str">
            <v>    i)  Interest Payments</v>
          </cell>
          <cell r="D21">
            <v>424.72</v>
          </cell>
          <cell r="E21">
            <v>74.68</v>
          </cell>
          <cell r="F21">
            <v>78.9</v>
          </cell>
          <cell r="G21">
            <v>84.5</v>
          </cell>
          <cell r="H21">
            <v>91.28</v>
          </cell>
          <cell r="I21">
            <v>94.02</v>
          </cell>
          <cell r="J21">
            <v>98.72</v>
          </cell>
        </row>
        <row r="22">
          <cell r="C22" t="str">
            <v>   ii) Appropriation for reduction or avoidance of debt</v>
          </cell>
          <cell r="D22">
            <v>0</v>
          </cell>
          <cell r="E22">
            <v>0</v>
          </cell>
          <cell r="F22">
            <v>0</v>
          </cell>
          <cell r="G22">
            <v>0</v>
          </cell>
          <cell r="H22">
            <v>0</v>
          </cell>
          <cell r="I22">
            <v>0</v>
          </cell>
          <cell r="J22">
            <v>0</v>
          </cell>
        </row>
        <row r="23">
          <cell r="B23" t="str">
            <v>b)</v>
          </cell>
          <cell r="C23" t="str">
            <v>Other Non-development</v>
          </cell>
          <cell r="D23">
            <v>830.53</v>
          </cell>
          <cell r="E23">
            <v>172.58</v>
          </cell>
          <cell r="F23">
            <v>195.13</v>
          </cell>
          <cell r="G23">
            <v>194.56</v>
          </cell>
          <cell r="H23">
            <v>194.62</v>
          </cell>
          <cell r="I23">
            <v>234.49</v>
          </cell>
          <cell r="J23">
            <v>319.34</v>
          </cell>
        </row>
        <row r="24">
          <cell r="B24" t="str">
            <v>2.</v>
          </cell>
          <cell r="C24" t="str">
            <v>Non-Plan Development</v>
          </cell>
          <cell r="D24">
            <v>1261.89</v>
          </cell>
          <cell r="E24">
            <v>231.47</v>
          </cell>
          <cell r="F24">
            <v>262.48</v>
          </cell>
          <cell r="G24">
            <v>286.23</v>
          </cell>
          <cell r="H24">
            <v>280.4</v>
          </cell>
          <cell r="I24">
            <v>294.64</v>
          </cell>
          <cell r="J24">
            <v>510.31</v>
          </cell>
        </row>
        <row r="25">
          <cell r="B25" t="str">
            <v>3.</v>
          </cell>
          <cell r="C25" t="str">
            <v>Transfer of funds</v>
          </cell>
          <cell r="D25">
            <v>0</v>
          </cell>
          <cell r="E25">
            <v>0</v>
          </cell>
          <cell r="F25">
            <v>0</v>
          </cell>
          <cell r="G25">
            <v>0</v>
          </cell>
          <cell r="H25">
            <v>0</v>
          </cell>
          <cell r="I25">
            <v>0</v>
          </cell>
          <cell r="J25">
            <v>0</v>
          </cell>
        </row>
        <row r="26">
          <cell r="B26" t="str">
            <v>4.</v>
          </cell>
          <cell r="C26" t="str">
            <v>Revision of DA and pay scales, bonus etc. not included under above items (in respect of Non-Plan Expenditure)</v>
          </cell>
          <cell r="D26">
            <v>253.79</v>
          </cell>
          <cell r="E26">
            <v>78.07</v>
          </cell>
          <cell r="F26">
            <v>0</v>
          </cell>
          <cell r="G26">
            <v>183.77</v>
          </cell>
          <cell r="H26">
            <v>0</v>
          </cell>
          <cell r="I26">
            <v>217.34</v>
          </cell>
          <cell r="J26">
            <v>20</v>
          </cell>
        </row>
        <row r="27">
          <cell r="B27" t="str">
            <v>5.</v>
          </cell>
          <cell r="C27" t="str">
            <v>Committed liability</v>
          </cell>
          <cell r="D27">
            <v>0</v>
          </cell>
          <cell r="E27">
            <v>0</v>
          </cell>
          <cell r="F27">
            <v>0</v>
          </cell>
          <cell r="G27">
            <v>0</v>
          </cell>
          <cell r="H27">
            <v>0</v>
          </cell>
          <cell r="I27">
            <v>0</v>
          </cell>
          <cell r="J27">
            <v>0</v>
          </cell>
        </row>
        <row r="28">
          <cell r="A28" t="str">
            <v>III.</v>
          </cell>
          <cell r="B28" t="str">
            <v>BCR with ARM (I-II)</v>
          </cell>
          <cell r="D28">
            <v>-297.8</v>
          </cell>
          <cell r="E28">
            <v>-112.93</v>
          </cell>
          <cell r="F28">
            <v>-159.6</v>
          </cell>
          <cell r="G28">
            <v>-251.72</v>
          </cell>
          <cell r="H28">
            <v>-162.15</v>
          </cell>
          <cell r="I28">
            <v>-317.42</v>
          </cell>
          <cell r="J28">
            <v>-493.51</v>
          </cell>
        </row>
        <row r="29">
          <cell r="B29" t="str">
            <v>    -  Of which ARM</v>
          </cell>
          <cell r="D29" t="str">
            <v>(59.27)</v>
          </cell>
          <cell r="E29">
            <v>0</v>
          </cell>
          <cell r="F29">
            <v>0</v>
          </cell>
          <cell r="G29">
            <v>2.03</v>
          </cell>
          <cell r="H29">
            <v>0</v>
          </cell>
          <cell r="I29">
            <v>21.11</v>
          </cell>
          <cell r="J29">
            <v>22.95</v>
          </cell>
        </row>
        <row r="31">
          <cell r="B31" t="str">
            <v># </v>
          </cell>
          <cell r="C31" t="str">
            <v> The share in Central taxes is estimated by assuming a 20% increase over  1999-2000.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XXXXXXX"/>
      <sheetName val="Brief"/>
      <sheetName val="Brief (2)"/>
      <sheetName val="BCR1"/>
      <sheetName val="SOF1"/>
      <sheetName val="BCR-Annex3"/>
      <sheetName val="Variation"/>
      <sheetName val="SOF2"/>
      <sheetName val="SOF-Annex1"/>
      <sheetName val="SOF-Annex1Manik"/>
      <sheetName val="SOF-Corex2000-01-Annex2"/>
      <sheetName val="CA-Others"/>
      <sheetName val="BCR3"/>
      <sheetName val="SOF3"/>
      <sheetName val="Appd.SO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ar"/>
      <sheetName val="RAJ"/>
      <sheetName val="UP"/>
      <sheetName val="Uttaranchal"/>
      <sheetName val="Original Hajel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Gs BCR"/>
      <sheetName val="SG's SOF"/>
      <sheetName val="CPAGE"/>
      <sheetName val="CONTENTS"/>
      <sheetName val="FORM1"/>
      <sheetName val="FORM2"/>
      <sheetName val="FORM3"/>
      <sheetName val="FORM4"/>
      <sheetName val="FORM5"/>
      <sheetName val="FORM6"/>
      <sheetName val="FORM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of+10%nca"/>
      <sheetName val="sof+10% nca (F)"/>
      <sheetName val="ACA"/>
      <sheetName val="ACA (One Time)"/>
      <sheetName val="Comparative ACA"/>
      <sheetName val="sof-2004-05"/>
      <sheetName val="Annex-I"/>
      <sheetName val="Annex-II"/>
      <sheetName val="Structure"/>
      <sheetName val="Structure (%)"/>
      <sheetName val="Structure-%"/>
      <sheetName val="BC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XXXXXXX"/>
      <sheetName val="Table-1-3"/>
      <sheetName val="Table-4"/>
      <sheetName val="Table-5 "/>
      <sheetName val="Tab-6"/>
      <sheetName val="Table-7A(BR)"/>
      <sheetName val="Table-7(IMR)"/>
      <sheetName val="Table-8"/>
      <sheetName val="Table-9"/>
      <sheetName val="Dist-exercise"/>
      <sheetName val="Exercise alloc-2007-08"/>
      <sheetName val="amount-distrbtn"/>
      <sheetName val="% share-rough"/>
      <sheetName val="Rough"/>
    </sheetNames>
    <sheetDataSet>
      <sheetData sheetId="1">
        <row r="9">
          <cell r="D9">
            <v>8.51512357821923</v>
          </cell>
        </row>
        <row r="10">
          <cell r="D10">
            <v>8.245594461440895</v>
          </cell>
        </row>
        <row r="11">
          <cell r="D11">
            <v>2.27798101747731</v>
          </cell>
        </row>
        <row r="12">
          <cell r="D12">
            <v>0.15561049225764403</v>
          </cell>
        </row>
        <row r="13">
          <cell r="D13">
            <v>5.2255764928331105</v>
          </cell>
        </row>
        <row r="14">
          <cell r="D14">
            <v>1.964606931811287</v>
          </cell>
        </row>
        <row r="15">
          <cell r="D15">
            <v>2.784742733772958</v>
          </cell>
        </row>
        <row r="16">
          <cell r="D16">
            <v>5.7348827832159905</v>
          </cell>
        </row>
        <row r="17">
          <cell r="D17">
            <v>4.1783863877030525</v>
          </cell>
        </row>
        <row r="18">
          <cell r="D18">
            <v>5.875225830950243</v>
          </cell>
        </row>
        <row r="19">
          <cell r="D19">
            <v>9.86746683734887</v>
          </cell>
        </row>
        <row r="20">
          <cell r="D20">
            <v>4.2954367957157205</v>
          </cell>
        </row>
        <row r="21">
          <cell r="D21">
            <v>2.652424881236898</v>
          </cell>
        </row>
        <row r="22">
          <cell r="D22">
            <v>5.043345840893656</v>
          </cell>
        </row>
        <row r="23">
          <cell r="D23">
            <v>8.064146755374436</v>
          </cell>
        </row>
        <row r="24">
          <cell r="D24">
            <v>16.445973798716366</v>
          </cell>
        </row>
        <row r="25">
          <cell r="D25">
            <v>8.673474381032355</v>
          </cell>
        </row>
        <row r="62">
          <cell r="G62">
            <v>0</v>
          </cell>
        </row>
        <row r="63">
          <cell r="G63">
            <v>20.718674780656126</v>
          </cell>
        </row>
        <row r="64">
          <cell r="G64">
            <v>3.8801322331581933</v>
          </cell>
        </row>
        <row r="65">
          <cell r="G65">
            <v>0</v>
          </cell>
        </row>
        <row r="66">
          <cell r="G66">
            <v>0</v>
          </cell>
        </row>
        <row r="67">
          <cell r="G67">
            <v>0</v>
          </cell>
        </row>
        <row r="68">
          <cell r="G68">
            <v>5.294496890970483</v>
          </cell>
        </row>
        <row r="69">
          <cell r="G69">
            <v>0</v>
          </cell>
        </row>
        <row r="70">
          <cell r="G70">
            <v>0</v>
          </cell>
        </row>
        <row r="71">
          <cell r="G71">
            <v>10.375122464202107</v>
          </cell>
        </row>
        <row r="72">
          <cell r="G72">
            <v>0</v>
          </cell>
        </row>
        <row r="73">
          <cell r="G73">
            <v>7.987742587955579</v>
          </cell>
        </row>
        <row r="74">
          <cell r="G74">
            <v>0</v>
          </cell>
        </row>
        <row r="75">
          <cell r="G75">
            <v>8.246681312135934</v>
          </cell>
        </row>
        <row r="76">
          <cell r="G76">
            <v>0</v>
          </cell>
        </row>
        <row r="77">
          <cell r="G77">
            <v>32.684141349163184</v>
          </cell>
        </row>
        <row r="78">
          <cell r="G78">
            <v>10.81300838175839</v>
          </cell>
        </row>
        <row r="89">
          <cell r="G89">
            <v>6.552710085830412</v>
          </cell>
        </row>
        <row r="90">
          <cell r="G90">
            <v>16.15470133762878</v>
          </cell>
        </row>
        <row r="91">
          <cell r="G91">
            <v>3.0254047636145267</v>
          </cell>
        </row>
        <row r="92">
          <cell r="G92">
            <v>0.025513213980663002</v>
          </cell>
        </row>
        <row r="93">
          <cell r="G93">
            <v>2.8450897928762267</v>
          </cell>
        </row>
        <row r="94">
          <cell r="G94">
            <v>0.4868234841989961</v>
          </cell>
        </row>
        <row r="95">
          <cell r="G95">
            <v>4.128208821854177</v>
          </cell>
        </row>
        <row r="96">
          <cell r="G96">
            <v>4.341852261250067</v>
          </cell>
        </row>
        <row r="97">
          <cell r="G97">
            <v>1.5848449244988947</v>
          </cell>
        </row>
        <row r="98">
          <cell r="G98">
            <v>8.089658558036419</v>
          </cell>
        </row>
        <row r="99">
          <cell r="G99">
            <v>1.6178265952115516</v>
          </cell>
        </row>
        <row r="100">
          <cell r="G100">
            <v>6.228178068162807</v>
          </cell>
        </row>
        <row r="101">
          <cell r="G101">
            <v>0.43487995302133875</v>
          </cell>
        </row>
        <row r="102">
          <cell r="G102">
            <v>6.430076973289007</v>
          </cell>
        </row>
        <row r="103">
          <cell r="G103">
            <v>4.138767442137731</v>
          </cell>
        </row>
        <row r="104">
          <cell r="G104">
            <v>25.48437810634207</v>
          </cell>
        </row>
        <row r="105">
          <cell r="G105">
            <v>8.43108561806633</v>
          </cell>
        </row>
      </sheetData>
      <sheetData sheetId="2">
        <row r="33">
          <cell r="F33">
            <v>6.263780996315646</v>
          </cell>
        </row>
        <row r="34">
          <cell r="F34">
            <v>3.842947891623174</v>
          </cell>
        </row>
        <row r="35">
          <cell r="F35">
            <v>5.9014720871799025</v>
          </cell>
        </row>
        <row r="36">
          <cell r="F36">
            <v>6.762492812722262</v>
          </cell>
        </row>
        <row r="37">
          <cell r="F37">
            <v>6.351717422881396</v>
          </cell>
        </row>
        <row r="38">
          <cell r="F38">
            <v>7.425031804639288</v>
          </cell>
        </row>
        <row r="39">
          <cell r="F39">
            <v>5.009387957444667</v>
          </cell>
        </row>
        <row r="40">
          <cell r="F40">
            <v>7.538955434684058</v>
          </cell>
        </row>
        <row r="41">
          <cell r="F41">
            <v>6.739156482665129</v>
          </cell>
        </row>
        <row r="42">
          <cell r="F42">
            <v>5.397030824968912</v>
          </cell>
        </row>
        <row r="43">
          <cell r="F43">
            <v>6.464784874875779</v>
          </cell>
        </row>
        <row r="44">
          <cell r="F44">
            <v>4.682638685483543</v>
          </cell>
        </row>
        <row r="45">
          <cell r="F45">
            <v>5.807476954968549</v>
          </cell>
        </row>
        <row r="46">
          <cell r="F46">
            <v>5.740656568113598</v>
          </cell>
        </row>
        <row r="47">
          <cell r="F47">
            <v>7.444064631459055</v>
          </cell>
        </row>
        <row r="48">
          <cell r="F48">
            <v>4.786473139842936</v>
          </cell>
        </row>
        <row r="49">
          <cell r="F49">
            <v>3.8419314301321026</v>
          </cell>
        </row>
      </sheetData>
      <sheetData sheetId="3">
        <row r="32">
          <cell r="H32">
            <v>4.750619619448644</v>
          </cell>
        </row>
        <row r="33">
          <cell r="H33">
            <v>7.01682916944861</v>
          </cell>
        </row>
        <row r="34">
          <cell r="H34">
            <v>3.2434608324906384</v>
          </cell>
        </row>
        <row r="35">
          <cell r="H35">
            <v>2.465088519199705</v>
          </cell>
        </row>
        <row r="36">
          <cell r="H36">
            <v>2.168001998111951</v>
          </cell>
        </row>
        <row r="37">
          <cell r="H37">
            <v>3.2639724989783</v>
          </cell>
        </row>
        <row r="38">
          <cell r="H38">
            <v>3.4738013180987215</v>
          </cell>
        </row>
        <row r="39">
          <cell r="H39">
            <v>3.3053397304829852</v>
          </cell>
        </row>
        <row r="40">
          <cell r="H40">
            <v>3.431455445774035</v>
          </cell>
        </row>
        <row r="41">
          <cell r="H41">
            <v>5.288698723619059</v>
          </cell>
        </row>
        <row r="42">
          <cell r="H42">
            <v>0.0456320378115334</v>
          </cell>
        </row>
        <row r="43">
          <cell r="H43">
            <v>50.563465342754746</v>
          </cell>
        </row>
        <row r="44">
          <cell r="H44">
            <v>0.11549956259344499</v>
          </cell>
        </row>
        <row r="45">
          <cell r="H45">
            <v>2.6453331357964913</v>
          </cell>
        </row>
        <row r="46">
          <cell r="H46">
            <v>4.022668373593252</v>
          </cell>
        </row>
        <row r="47">
          <cell r="H47">
            <v>4.084634129204461</v>
          </cell>
        </row>
        <row r="48">
          <cell r="H48">
            <v>0.11549956259344499</v>
          </cell>
        </row>
      </sheetData>
      <sheetData sheetId="4">
        <row r="9">
          <cell r="H9">
            <v>6.236838551071078</v>
          </cell>
        </row>
        <row r="10">
          <cell r="H10">
            <v>4.700905300350548</v>
          </cell>
        </row>
        <row r="11">
          <cell r="H11">
            <v>8.004673391541505</v>
          </cell>
        </row>
        <row r="12">
          <cell r="H12">
            <v>4.787071841871917</v>
          </cell>
        </row>
        <row r="13">
          <cell r="H13">
            <v>4.290721096574772</v>
          </cell>
        </row>
        <row r="14">
          <cell r="H14">
            <v>5.430077624884673</v>
          </cell>
        </row>
        <row r="15">
          <cell r="H15">
            <v>6.665334188665853</v>
          </cell>
        </row>
        <row r="16">
          <cell r="H16">
            <v>4.865224640952191</v>
          </cell>
        </row>
        <row r="17">
          <cell r="H17">
            <v>4.740389202309421</v>
          </cell>
        </row>
        <row r="18">
          <cell r="H18">
            <v>7.56483828178058</v>
          </cell>
        </row>
        <row r="19">
          <cell r="H19">
            <v>5.391002045161661</v>
          </cell>
        </row>
        <row r="20">
          <cell r="H20">
            <v>5.680167898259811</v>
          </cell>
        </row>
        <row r="21">
          <cell r="H21">
            <v>5.037185866344505</v>
          </cell>
        </row>
        <row r="22">
          <cell r="H22">
            <v>9.88545170080078</v>
          </cell>
        </row>
        <row r="23">
          <cell r="H23">
            <v>5.082431705040026</v>
          </cell>
        </row>
        <row r="24">
          <cell r="H24">
            <v>6.643358236923769</v>
          </cell>
        </row>
        <row r="25">
          <cell r="H25">
            <v>4.994328427466895</v>
          </cell>
        </row>
      </sheetData>
      <sheetData sheetId="6">
        <row r="9">
          <cell r="P9">
            <v>5.134180611092717</v>
          </cell>
        </row>
        <row r="10">
          <cell r="P10">
            <v>1.9659093803326286</v>
          </cell>
        </row>
        <row r="11">
          <cell r="P11">
            <v>5.401501838032414</v>
          </cell>
        </row>
        <row r="12">
          <cell r="P12">
            <v>9.037134197590607</v>
          </cell>
        </row>
        <row r="13">
          <cell r="P13">
            <v>5.725067705812936</v>
          </cell>
        </row>
        <row r="14">
          <cell r="P14">
            <v>3.4603188752769767</v>
          </cell>
        </row>
        <row r="15">
          <cell r="P15">
            <v>4.885324605863027</v>
          </cell>
        </row>
        <row r="16">
          <cell r="P16">
            <v>7.138400020375418</v>
          </cell>
        </row>
        <row r="17">
          <cell r="P17">
            <v>9.037134197590607</v>
          </cell>
        </row>
        <row r="18">
          <cell r="P18">
            <v>1.674604589562691</v>
          </cell>
        </row>
        <row r="19">
          <cell r="P19">
            <v>9.037134197590607</v>
          </cell>
        </row>
        <row r="20">
          <cell r="P20">
            <v>4.228748015519276</v>
          </cell>
        </row>
        <row r="21">
          <cell r="P21">
            <v>7.876796644847991</v>
          </cell>
        </row>
        <row r="22">
          <cell r="P22">
            <v>5.086531849323791</v>
          </cell>
        </row>
        <row r="23">
          <cell r="P23">
            <v>9.037134197590607</v>
          </cell>
        </row>
        <row r="24">
          <cell r="P24">
            <v>2.2369448760070973</v>
          </cell>
        </row>
        <row r="25">
          <cell r="P25">
            <v>9.037134197590607</v>
          </cell>
        </row>
      </sheetData>
      <sheetData sheetId="7">
        <row r="6">
          <cell r="H6">
            <v>9.461846843954355</v>
          </cell>
        </row>
        <row r="7">
          <cell r="H7">
            <v>6.387638919804674</v>
          </cell>
        </row>
        <row r="8">
          <cell r="H8">
            <v>3.6978718987479273</v>
          </cell>
        </row>
        <row r="9">
          <cell r="H9">
            <v>0</v>
          </cell>
        </row>
        <row r="10">
          <cell r="H10">
            <v>4.609565398871069</v>
          </cell>
        </row>
        <row r="11">
          <cell r="H11">
            <v>5.1377075274955075</v>
          </cell>
        </row>
        <row r="12">
          <cell r="H12">
            <v>6.387638919804674</v>
          </cell>
        </row>
        <row r="13">
          <cell r="H13">
            <v>3.267211661034223</v>
          </cell>
        </row>
        <row r="14">
          <cell r="H14">
            <v>2.7221301965988323</v>
          </cell>
        </row>
        <row r="15">
          <cell r="H15">
            <v>3.9748196639727524</v>
          </cell>
        </row>
        <row r="16">
          <cell r="H16">
            <v>10.174581101546647</v>
          </cell>
        </row>
        <row r="17">
          <cell r="H17">
            <v>5.390010363096479</v>
          </cell>
        </row>
        <row r="18">
          <cell r="H18">
            <v>3.989717355277438</v>
          </cell>
        </row>
        <row r="19">
          <cell r="H19">
            <v>8.130761614141768</v>
          </cell>
        </row>
        <row r="20">
          <cell r="H20">
            <v>5.855494768298066</v>
          </cell>
        </row>
        <row r="21">
          <cell r="H21">
            <v>5.813773744381858</v>
          </cell>
        </row>
        <row r="22">
          <cell r="H22">
            <v>14.999230022973727</v>
          </cell>
        </row>
      </sheetData>
      <sheetData sheetId="8">
        <row r="8">
          <cell r="F8">
            <v>3.9007231965672955</v>
          </cell>
        </row>
        <row r="9">
          <cell r="F9">
            <v>0</v>
          </cell>
        </row>
        <row r="10">
          <cell r="F10">
            <v>0.44368042041473055</v>
          </cell>
        </row>
        <row r="11">
          <cell r="F11">
            <v>0</v>
          </cell>
        </row>
        <row r="12">
          <cell r="F12">
            <v>5.848747165699913</v>
          </cell>
        </row>
        <row r="13">
          <cell r="F13">
            <v>13.357335080195956</v>
          </cell>
        </row>
        <row r="14">
          <cell r="F14">
            <v>0.02877851211495101</v>
          </cell>
        </row>
        <row r="15">
          <cell r="F15">
            <v>7.406166281652649</v>
          </cell>
        </row>
        <row r="16">
          <cell r="F16">
            <v>7.962661602300883</v>
          </cell>
        </row>
        <row r="17">
          <cell r="F17">
            <v>9.154584884893957</v>
          </cell>
        </row>
        <row r="18">
          <cell r="F18">
            <v>7.239412719171304</v>
          </cell>
        </row>
        <row r="19">
          <cell r="F19">
            <v>9.477575484902518</v>
          </cell>
        </row>
        <row r="20">
          <cell r="F20">
            <v>8.995835014133412</v>
          </cell>
        </row>
        <row r="21">
          <cell r="F21">
            <v>8.147496256670909</v>
          </cell>
        </row>
        <row r="22">
          <cell r="F22">
            <v>2.9708287849684845</v>
          </cell>
        </row>
        <row r="23">
          <cell r="F23">
            <v>4.701767719444516</v>
          </cell>
        </row>
        <row r="24">
          <cell r="F24">
            <v>10.364406876868513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SheetLayoutView="70"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2"/>
  <dimension ref="A1:P101"/>
  <sheetViews>
    <sheetView tabSelected="1" view="pageBreakPreview" zoomScale="75" zoomScaleSheetLayoutView="75" workbookViewId="0" topLeftCell="A21">
      <selection activeCell="N31" sqref="N31:P81"/>
    </sheetView>
  </sheetViews>
  <sheetFormatPr defaultColWidth="9.00390625" defaultRowHeight="12.75"/>
  <cols>
    <col min="1" max="1" width="4.875" style="0" customWidth="1"/>
    <col min="2" max="2" width="25.50390625" style="0" customWidth="1"/>
    <col min="3" max="3" width="16.125" style="0" customWidth="1"/>
    <col min="4" max="6" width="12.75390625" style="0" customWidth="1"/>
    <col min="7" max="7" width="13.375" style="0" customWidth="1"/>
    <col min="8" max="11" width="12.75390625" style="0" customWidth="1"/>
    <col min="12" max="12" width="18.875" style="0" customWidth="1"/>
    <col min="13" max="13" width="7.375" style="0" customWidth="1"/>
    <col min="14" max="14" width="15.625" style="0" customWidth="1"/>
    <col min="15" max="15" width="14.875" style="0" customWidth="1"/>
    <col min="16" max="16" width="16.375" style="0" customWidth="1"/>
  </cols>
  <sheetData>
    <row r="1" spans="1:13" ht="30.75" customHeight="1" thickBot="1">
      <c r="A1" s="693" t="s">
        <v>224</v>
      </c>
      <c r="B1" s="693"/>
      <c r="C1" s="693"/>
      <c r="D1" s="693"/>
      <c r="E1" s="693"/>
      <c r="F1" s="693"/>
      <c r="G1" s="693"/>
      <c r="H1" s="693"/>
      <c r="I1" s="693"/>
      <c r="J1" s="693"/>
      <c r="K1" s="693"/>
      <c r="L1" s="454" t="s">
        <v>283</v>
      </c>
      <c r="M1" s="15"/>
    </row>
    <row r="2" spans="1:13" ht="29.25" customHeight="1">
      <c r="A2" s="702" t="s">
        <v>118</v>
      </c>
      <c r="B2" s="703"/>
      <c r="C2" s="703"/>
      <c r="D2" s="703"/>
      <c r="E2" s="703"/>
      <c r="F2" s="703"/>
      <c r="G2" s="703"/>
      <c r="H2" s="703"/>
      <c r="I2" s="703"/>
      <c r="J2" s="703"/>
      <c r="K2" s="704"/>
      <c r="L2" s="15"/>
      <c r="M2" s="15"/>
    </row>
    <row r="3" spans="1:13" ht="56.25" customHeight="1">
      <c r="A3" s="694" t="s">
        <v>170</v>
      </c>
      <c r="B3" s="695"/>
      <c r="C3" s="695"/>
      <c r="D3" s="695"/>
      <c r="E3" s="695"/>
      <c r="F3" s="695"/>
      <c r="G3" s="695"/>
      <c r="H3" s="695"/>
      <c r="I3" s="695"/>
      <c r="J3" s="695"/>
      <c r="K3" s="696"/>
      <c r="L3" s="15"/>
      <c r="M3" s="15"/>
    </row>
    <row r="4" spans="1:13" s="359" customFormat="1" ht="42.75" customHeight="1">
      <c r="A4" s="700" t="s">
        <v>77</v>
      </c>
      <c r="B4" s="701"/>
      <c r="C4" s="361" t="s">
        <v>78</v>
      </c>
      <c r="D4" s="699" t="s">
        <v>79</v>
      </c>
      <c r="E4" s="699"/>
      <c r="F4" s="362" t="s">
        <v>80</v>
      </c>
      <c r="G4" s="362" t="s">
        <v>81</v>
      </c>
      <c r="H4" s="362" t="s">
        <v>127</v>
      </c>
      <c r="I4" s="362" t="s">
        <v>83</v>
      </c>
      <c r="J4" s="362" t="s">
        <v>84</v>
      </c>
      <c r="K4" s="364" t="s">
        <v>85</v>
      </c>
      <c r="L4" s="79"/>
      <c r="M4" s="79"/>
    </row>
    <row r="5" spans="1:13" ht="35.25" customHeight="1">
      <c r="A5" s="700"/>
      <c r="B5" s="701"/>
      <c r="C5" s="128"/>
      <c r="D5" s="363" t="s">
        <v>86</v>
      </c>
      <c r="E5" s="363" t="s">
        <v>87</v>
      </c>
      <c r="F5" s="126" t="s">
        <v>4</v>
      </c>
      <c r="G5" s="126" t="s">
        <v>4</v>
      </c>
      <c r="H5" s="126" t="s">
        <v>4</v>
      </c>
      <c r="I5" s="128"/>
      <c r="J5" s="128"/>
      <c r="K5" s="365" t="s">
        <v>4</v>
      </c>
      <c r="L5" s="15"/>
      <c r="M5" s="15"/>
    </row>
    <row r="6" spans="1:13" ht="21.75" customHeight="1">
      <c r="A6" s="700"/>
      <c r="B6" s="701"/>
      <c r="C6" s="126" t="s">
        <v>88</v>
      </c>
      <c r="D6" s="126" t="s">
        <v>89</v>
      </c>
      <c r="E6" s="123" t="s">
        <v>90</v>
      </c>
      <c r="F6" s="126" t="s">
        <v>91</v>
      </c>
      <c r="G6" s="126" t="s">
        <v>92</v>
      </c>
      <c r="H6" s="126" t="s">
        <v>93</v>
      </c>
      <c r="I6" s="126" t="s">
        <v>93</v>
      </c>
      <c r="J6" s="126" t="s">
        <v>94</v>
      </c>
      <c r="K6" s="365" t="s">
        <v>95</v>
      </c>
      <c r="L6" s="15"/>
      <c r="M6" s="15"/>
    </row>
    <row r="7" spans="1:13" ht="30">
      <c r="A7" s="366" t="s">
        <v>51</v>
      </c>
      <c r="B7" s="128">
        <v>1</v>
      </c>
      <c r="C7" s="126">
        <v>2</v>
      </c>
      <c r="D7" s="128">
        <v>3</v>
      </c>
      <c r="E7" s="126">
        <v>4</v>
      </c>
      <c r="F7" s="128">
        <v>5</v>
      </c>
      <c r="G7" s="126">
        <v>6</v>
      </c>
      <c r="H7" s="128">
        <v>7</v>
      </c>
      <c r="I7" s="126">
        <v>8</v>
      </c>
      <c r="J7" s="128">
        <v>9</v>
      </c>
      <c r="K7" s="365">
        <v>10</v>
      </c>
      <c r="L7" s="15"/>
      <c r="M7" s="15"/>
    </row>
    <row r="8" spans="1:13" ht="24.75" customHeight="1">
      <c r="A8" s="367">
        <v>1</v>
      </c>
      <c r="B8" s="147" t="s">
        <v>2</v>
      </c>
      <c r="C8" s="159">
        <f>'Table-1-3'!D10</f>
        <v>8.51512357821923</v>
      </c>
      <c r="D8" s="159">
        <f>'Table-1-3'!G63</f>
        <v>0</v>
      </c>
      <c r="E8" s="159">
        <f>'Table-1-3'!G90</f>
        <v>6.34066811082534</v>
      </c>
      <c r="F8" s="159">
        <f>'Table-4'!F33</f>
        <v>6.059460759874817</v>
      </c>
      <c r="G8" s="159">
        <f>'Table-5(Rev)'!H32</f>
        <v>2.8800847364506765</v>
      </c>
      <c r="H8" s="159">
        <f>'Tab-6'!H9</f>
        <v>6.236838551071078</v>
      </c>
      <c r="I8" s="159">
        <f>'Table-7(IMR)'!P9</f>
        <v>7.158365369485413</v>
      </c>
      <c r="J8" s="159">
        <f>'Table-8'!H6</f>
        <v>9.714974844804885</v>
      </c>
      <c r="K8" s="368">
        <f>'Table-9'!F8</f>
        <v>3.798265223409316</v>
      </c>
      <c r="L8" s="441"/>
      <c r="M8" s="15"/>
    </row>
    <row r="9" spans="1:13" ht="24.75" customHeight="1">
      <c r="A9" s="367">
        <v>2</v>
      </c>
      <c r="B9" s="147" t="s">
        <v>96</v>
      </c>
      <c r="C9" s="159">
        <f>'Table-1-3'!D11</f>
        <v>8.245594461440895</v>
      </c>
      <c r="D9" s="159">
        <f>'Table-1-3'!G64</f>
        <v>21.218339693797343</v>
      </c>
      <c r="E9" s="159">
        <f>'Table-1-3'!G91</f>
        <v>17.21771587212789</v>
      </c>
      <c r="F9" s="274">
        <f>'Table-4'!F34</f>
        <v>3.977462107637817</v>
      </c>
      <c r="G9" s="159">
        <f>'Table-5(Rev)'!H33</f>
        <v>3.8029988418483165</v>
      </c>
      <c r="H9" s="159">
        <f>'Tab-6'!H10</f>
        <v>4.700905300350548</v>
      </c>
      <c r="I9" s="159">
        <f>'Table-7(IMR)'!P10</f>
        <v>2.320334163295459</v>
      </c>
      <c r="J9" s="159">
        <f>'Table-8'!H7</f>
        <v>6.302810409062417</v>
      </c>
      <c r="K9" s="368">
        <f>'Table-9'!F9</f>
        <v>0</v>
      </c>
      <c r="L9" s="441"/>
      <c r="M9" s="15"/>
    </row>
    <row r="10" spans="1:13" ht="24.75" customHeight="1">
      <c r="A10" s="367">
        <v>3</v>
      </c>
      <c r="B10" s="147" t="s">
        <v>138</v>
      </c>
      <c r="C10" s="159">
        <f>'Table-1-3'!D12</f>
        <v>2.27798101747731</v>
      </c>
      <c r="D10" s="274">
        <f>'Table-1-3'!G65</f>
        <v>3.6759075547468356</v>
      </c>
      <c r="E10" s="159">
        <f>'Table-1-3'!G92</f>
        <v>2.9828314921520884</v>
      </c>
      <c r="F10" s="159">
        <f>'Table-4'!F35</f>
        <v>5.900658459726874</v>
      </c>
      <c r="G10" s="159">
        <f>'Table-5(Rev)'!H34</f>
        <v>7.540052323363796</v>
      </c>
      <c r="H10" s="159">
        <f>'Tab-6'!H11</f>
        <v>8.004673391541505</v>
      </c>
      <c r="I10" s="159">
        <f>'Table-7(IMR)'!P11</f>
        <v>2.374767573219995</v>
      </c>
      <c r="J10" s="159">
        <f>'Table-8'!H8</f>
        <v>4.142873151344652</v>
      </c>
      <c r="K10" s="368">
        <f>'Table-9'!F10</f>
        <v>1.8416218731769445</v>
      </c>
      <c r="L10" s="441"/>
      <c r="M10" s="15"/>
    </row>
    <row r="11" spans="1:13" ht="24.75" customHeight="1">
      <c r="A11" s="367">
        <v>4</v>
      </c>
      <c r="B11" s="147" t="s">
        <v>5</v>
      </c>
      <c r="C11" s="159">
        <f>'Table-1-3'!D13</f>
        <v>0.15561049225764403</v>
      </c>
      <c r="D11" s="159">
        <f>'Table-1-3'!G66</f>
        <v>0</v>
      </c>
      <c r="E11" s="159">
        <f>'Table-1-3'!G93</f>
        <v>0.01269748346558374</v>
      </c>
      <c r="F11" s="159">
        <f>'Table-4'!F36</f>
        <v>6.348573225497316</v>
      </c>
      <c r="G11" s="159">
        <f>'Table-5(Rev)'!H35</f>
        <v>1.084091051917166</v>
      </c>
      <c r="H11" s="159">
        <f>'Tab-6'!H12</f>
        <v>4.787071841871917</v>
      </c>
      <c r="I11" s="273">
        <f>'Table-7(IMR)'!P12</f>
        <v>9.659483702248615</v>
      </c>
      <c r="J11" s="159">
        <f>'Table-8'!H9</f>
        <v>0</v>
      </c>
      <c r="K11" s="368">
        <f>'Table-9'!F11</f>
        <v>0</v>
      </c>
      <c r="L11" s="441"/>
      <c r="M11" s="15"/>
    </row>
    <row r="12" spans="1:13" ht="24.75" customHeight="1">
      <c r="A12" s="367">
        <v>5</v>
      </c>
      <c r="B12" s="147" t="s">
        <v>6</v>
      </c>
      <c r="C12" s="159">
        <f>'Table-1-3'!D14</f>
        <v>5.2255764928331105</v>
      </c>
      <c r="D12" s="159">
        <f>'Table-1-3'!G67</f>
        <v>0</v>
      </c>
      <c r="E12" s="159">
        <f>'Table-1-3'!G94</f>
        <v>2.182316672070448</v>
      </c>
      <c r="F12" s="159">
        <f>'Table-4'!F37</f>
        <v>6.067898070788689</v>
      </c>
      <c r="G12" s="159">
        <f>'Table-5(Rev)'!H36</f>
        <v>4.5792389759750955</v>
      </c>
      <c r="H12" s="274">
        <f>'Tab-6'!H13</f>
        <v>4.290721096574772</v>
      </c>
      <c r="I12" s="159">
        <f>'Table-7(IMR)'!P13</f>
        <v>5.785166765132079</v>
      </c>
      <c r="J12" s="159">
        <f>'Table-8'!H10</f>
        <v>4.727425131002349</v>
      </c>
      <c r="K12" s="368">
        <f>'Table-9'!F12</f>
        <v>11.646885209649657</v>
      </c>
      <c r="L12" s="441"/>
      <c r="M12" s="15"/>
    </row>
    <row r="13" spans="1:13" ht="24.75" customHeight="1">
      <c r="A13" s="367">
        <v>6</v>
      </c>
      <c r="B13" s="147" t="s">
        <v>7</v>
      </c>
      <c r="C13" s="274">
        <f>'Table-1-3'!D15</f>
        <v>1.964606931811287</v>
      </c>
      <c r="D13" s="159">
        <f>'Table-1-3'!G68</f>
        <v>0</v>
      </c>
      <c r="E13" s="159">
        <f>'Table-1-3'!G95</f>
        <v>0.2484682395504595</v>
      </c>
      <c r="F13" s="159">
        <f>'Table-4'!F38</f>
        <v>7.342303105849385</v>
      </c>
      <c r="G13" s="159">
        <f>'Table-5(Rev)'!H37</f>
        <v>3.205330165899631</v>
      </c>
      <c r="H13" s="159">
        <f>'Tab-6'!H14</f>
        <v>5.430077624884673</v>
      </c>
      <c r="I13" s="159">
        <f>'Table-7(IMR)'!P14</f>
        <v>5.442959509168521</v>
      </c>
      <c r="J13" s="159">
        <f>'Table-8'!H11</f>
        <v>5.230715442853845</v>
      </c>
      <c r="K13" s="369">
        <f>'Table-9'!F13</f>
        <v>6.539694443383566</v>
      </c>
      <c r="L13" s="441"/>
      <c r="M13" s="15"/>
    </row>
    <row r="14" spans="1:13" ht="24.75" customHeight="1">
      <c r="A14" s="367">
        <v>7</v>
      </c>
      <c r="B14" s="147" t="s">
        <v>139</v>
      </c>
      <c r="C14" s="159">
        <f>'Table-1-3'!D16</f>
        <v>2.784742733772958</v>
      </c>
      <c r="D14" s="159">
        <f>'Table-1-3'!G69</f>
        <v>4.897164579385255</v>
      </c>
      <c r="E14" s="159">
        <f>'Table-1-3'!G96</f>
        <v>3.9738259224661343</v>
      </c>
      <c r="F14" s="159">
        <f>'Table-4'!F39</f>
        <v>4.2557708313535985</v>
      </c>
      <c r="G14" s="159">
        <f>'Table-5(Rev)'!H38</f>
        <v>3.5326503075409845</v>
      </c>
      <c r="H14" s="159">
        <f>'Tab-6'!H15</f>
        <v>6.665334188665853</v>
      </c>
      <c r="I14" s="159">
        <f>'Table-7(IMR)'!P15</f>
        <v>4.137012288366216</v>
      </c>
      <c r="J14" s="159">
        <f>'Table-8'!H12</f>
        <v>2.8977308693818817</v>
      </c>
      <c r="K14" s="370">
        <f>'Table-9'!F14</f>
        <v>0.7319214563361987</v>
      </c>
      <c r="L14" s="441"/>
      <c r="M14" s="15"/>
    </row>
    <row r="15" spans="1:13" ht="24.75" customHeight="1">
      <c r="A15" s="367">
        <v>8</v>
      </c>
      <c r="B15" s="147" t="s">
        <v>8</v>
      </c>
      <c r="C15" s="159">
        <f>'Table-1-3'!D17</f>
        <v>5.7348827832159905</v>
      </c>
      <c r="D15" s="159">
        <f>'Table-1-3'!G70</f>
        <v>0</v>
      </c>
      <c r="E15" s="159">
        <f>'Table-1-3'!G97</f>
        <v>4.00183258642612</v>
      </c>
      <c r="F15" s="273">
        <f>'Table-4'!F40</f>
        <v>7.792843396704503</v>
      </c>
      <c r="G15" s="159">
        <f>'Table-5(Rev)'!H39</f>
        <v>3.4960049179196937</v>
      </c>
      <c r="H15" s="159">
        <f>'Tab-6'!H16</f>
        <v>4.865224640952191</v>
      </c>
      <c r="I15" s="159">
        <f>'Table-7(IMR)'!P16</f>
        <v>7.289933929862222</v>
      </c>
      <c r="J15" s="159">
        <f>'Table-8'!H13</f>
        <v>3.722149335397405</v>
      </c>
      <c r="K15" s="368">
        <f>'Table-9'!F15</f>
        <v>9.938547937166819</v>
      </c>
      <c r="L15" s="441"/>
      <c r="M15" s="15"/>
    </row>
    <row r="16" spans="1:13" ht="24.75" customHeight="1">
      <c r="A16" s="367">
        <v>9</v>
      </c>
      <c r="B16" s="147" t="s">
        <v>9</v>
      </c>
      <c r="C16" s="159">
        <f>'Table-1-3'!D18</f>
        <v>4.1783863877030525</v>
      </c>
      <c r="D16" s="159">
        <f>'Table-1-3'!G71</f>
        <v>0</v>
      </c>
      <c r="E16" s="159">
        <f>'Table-1-3'!G98</f>
        <v>1.344345797222789</v>
      </c>
      <c r="F16" s="159">
        <f>'Table-4'!F41</f>
        <v>6.843565700993912</v>
      </c>
      <c r="G16" s="159">
        <f>'Table-5(Rev)'!H40</f>
        <v>2.256575122932002</v>
      </c>
      <c r="H16" s="159">
        <f>'Tab-6'!H17</f>
        <v>4.740389202309421</v>
      </c>
      <c r="I16" s="273">
        <f>'Table-7(IMR)'!P17</f>
        <v>9.659483702248615</v>
      </c>
      <c r="J16" s="274">
        <f>'Table-8'!H14</f>
        <v>2.783299983408809</v>
      </c>
      <c r="K16" s="368">
        <f>'Table-9'!F16</f>
        <v>6.231391364136786</v>
      </c>
      <c r="L16" s="441"/>
      <c r="M16" s="15"/>
    </row>
    <row r="17" spans="1:13" ht="24.75" customHeight="1">
      <c r="A17" s="367">
        <v>10</v>
      </c>
      <c r="B17" s="147" t="s">
        <v>10</v>
      </c>
      <c r="C17" s="159">
        <f>'Table-1-3'!D19</f>
        <v>5.875225830950243</v>
      </c>
      <c r="D17" s="159">
        <f>'Table-1-3'!G72</f>
        <v>10.518054543798062</v>
      </c>
      <c r="E17" s="159">
        <f>'Table-1-3'!G99</f>
        <v>8.534922019162412</v>
      </c>
      <c r="F17" s="159">
        <f>'Table-4'!F42</f>
        <v>5.748873071794735</v>
      </c>
      <c r="G17" s="159">
        <f>'Table-5(Rev)'!H41</f>
        <v>5.04891151457479</v>
      </c>
      <c r="H17" s="159">
        <f>'Tab-6'!H18</f>
        <v>7.56483828178058</v>
      </c>
      <c r="I17" s="274">
        <f>'Table-7(IMR)'!P18</f>
        <v>1.5315677959538039</v>
      </c>
      <c r="J17" s="159">
        <f>'Table-8'!H15</f>
        <v>4.076451230957931</v>
      </c>
      <c r="K17" s="368">
        <f>'Table-9'!F17</f>
        <v>9.870802967178399</v>
      </c>
      <c r="L17" s="441"/>
      <c r="M17" s="15"/>
    </row>
    <row r="18" spans="1:13" ht="24.75" customHeight="1">
      <c r="A18" s="367">
        <v>11</v>
      </c>
      <c r="B18" s="147" t="s">
        <v>11</v>
      </c>
      <c r="C18" s="159">
        <f>'Table-1-3'!D20</f>
        <v>9.86746683734887</v>
      </c>
      <c r="D18" s="159">
        <f>'Table-1-3'!G73</f>
        <v>0</v>
      </c>
      <c r="E18" s="159">
        <f>'Table-1-3'!G100</f>
        <v>0.805164196813846</v>
      </c>
      <c r="F18" s="159">
        <f>'Table-4'!F43</f>
        <v>6.46759000562152</v>
      </c>
      <c r="G18" s="159">
        <f>'Table-5(Rev)'!H42</f>
        <v>1.5065939148895842</v>
      </c>
      <c r="H18" s="159">
        <f>'Tab-6'!H19</f>
        <v>5.391002045161661</v>
      </c>
      <c r="I18" s="273">
        <f>'Table-7(IMR)'!P19</f>
        <v>9.659483702248615</v>
      </c>
      <c r="J18" s="159">
        <f>'Table-8'!H16</f>
        <v>10.580959011259488</v>
      </c>
      <c r="K18" s="368">
        <f>'Table-9'!F18</f>
        <v>12.244581921586871</v>
      </c>
      <c r="L18" s="441"/>
      <c r="M18" s="15"/>
    </row>
    <row r="19" spans="1:13" ht="24.75" customHeight="1">
      <c r="A19" s="367">
        <v>12</v>
      </c>
      <c r="B19" s="147" t="s">
        <v>97</v>
      </c>
      <c r="C19" s="159">
        <f>'Table-1-3'!D21</f>
        <v>4.2954367957157205</v>
      </c>
      <c r="D19" s="159">
        <f>'Table-1-3'!G74</f>
        <v>7.64608126628792</v>
      </c>
      <c r="E19" s="159">
        <f>'Table-1-3'!G101</f>
        <v>6.204446562641719</v>
      </c>
      <c r="F19" s="159">
        <f>'Table-4'!F44</f>
        <v>4.775510979993626</v>
      </c>
      <c r="G19" s="273">
        <f>'Table-5(Rev)'!H43</f>
        <v>48.76045479437578</v>
      </c>
      <c r="H19" s="159">
        <f>'Tab-6'!H20</f>
        <v>5.680167898259811</v>
      </c>
      <c r="I19" s="159">
        <f>'Table-7(IMR)'!P20</f>
        <v>4.2069890355295465</v>
      </c>
      <c r="J19" s="159">
        <f>'Table-8'!H17</f>
        <v>5.379542941033502</v>
      </c>
      <c r="K19" s="368">
        <f>'Table-9'!F19</f>
        <v>1.3001238473233223</v>
      </c>
      <c r="L19" s="441"/>
      <c r="M19" s="15"/>
    </row>
    <row r="20" spans="1:13" ht="24.75" customHeight="1">
      <c r="A20" s="367">
        <v>13</v>
      </c>
      <c r="B20" s="147" t="s">
        <v>13</v>
      </c>
      <c r="C20" s="159">
        <f>'Table-1-3'!D22</f>
        <v>2.652424881236898</v>
      </c>
      <c r="D20" s="159">
        <f>'Table-1-3'!G75</f>
        <v>0</v>
      </c>
      <c r="E20" s="274">
        <f>'Table-1-3'!G102</f>
        <v>0.21643219929827076</v>
      </c>
      <c r="F20" s="159">
        <f>'Table-4'!F45</f>
        <v>6.001176696422274</v>
      </c>
      <c r="G20" s="274">
        <f>'Table-5(Rev)'!H44</f>
        <v>0.15230718222453843</v>
      </c>
      <c r="H20" s="159">
        <f>'Tab-6'!H21</f>
        <v>5.037185866344505</v>
      </c>
      <c r="I20" s="159">
        <f>'Table-7(IMR)'!P21</f>
        <v>8.60561953363035</v>
      </c>
      <c r="J20" s="159">
        <f>'Table-8'!H18</f>
        <v>4.1229237490822275</v>
      </c>
      <c r="K20" s="368">
        <f>'Table-9'!F20</f>
        <v>2.782310108054758</v>
      </c>
      <c r="L20" s="441"/>
      <c r="M20" s="15"/>
    </row>
    <row r="21" spans="1:13" ht="24.75" customHeight="1">
      <c r="A21" s="367">
        <v>14</v>
      </c>
      <c r="B21" s="147" t="s">
        <v>14</v>
      </c>
      <c r="C21" s="159">
        <f>'Table-1-3'!D23</f>
        <v>5.043345840893656</v>
      </c>
      <c r="D21" s="159">
        <f>'Table-1-3'!G76</f>
        <v>8.28326922771782</v>
      </c>
      <c r="E21" s="159">
        <f>'Table-1-3'!G103</f>
        <v>6.721495560601134</v>
      </c>
      <c r="F21" s="159">
        <f>'Table-4'!F46</f>
        <v>5.907368253584605</v>
      </c>
      <c r="G21" s="159">
        <f>'Table-5(Rev)'!H45</f>
        <v>3.3926819977210787</v>
      </c>
      <c r="H21" s="273">
        <f>'Tab-6'!H22</f>
        <v>9.88545170080078</v>
      </c>
      <c r="I21" s="159">
        <f>'Table-7(IMR)'!P22</f>
        <v>1.847848336793526</v>
      </c>
      <c r="J21" s="159">
        <f>'Table-8'!H19</f>
        <v>8.447434367482611</v>
      </c>
      <c r="K21" s="368">
        <f>'Table-9'!F21</f>
        <v>8.244021713248447</v>
      </c>
      <c r="L21" s="441"/>
      <c r="M21" s="15"/>
    </row>
    <row r="22" spans="1:13" ht="24.75" customHeight="1">
      <c r="A22" s="367">
        <v>15</v>
      </c>
      <c r="B22" s="147" t="s">
        <v>15</v>
      </c>
      <c r="C22" s="159">
        <f>'Table-1-3'!D24</f>
        <v>8.064146755374436</v>
      </c>
      <c r="D22" s="159">
        <f>'Table-1-3'!G77</f>
        <v>0</v>
      </c>
      <c r="E22" s="159">
        <f>'Table-1-3'!G104</f>
        <v>3.702631099994455</v>
      </c>
      <c r="F22" s="159">
        <f>'Table-4'!F47</f>
        <v>7.557802592875315</v>
      </c>
      <c r="G22" s="159">
        <f>'Table-5(Rev)'!H46</f>
        <v>2.1114636670613667</v>
      </c>
      <c r="H22" s="159">
        <f>'Tab-6'!H23</f>
        <v>5.082431705040026</v>
      </c>
      <c r="I22" s="273">
        <f>'Table-7(IMR)'!P23</f>
        <v>9.659483702248615</v>
      </c>
      <c r="J22" s="159">
        <f>'Table-8'!H20</f>
        <v>6.02136756657717</v>
      </c>
      <c r="K22" s="368">
        <f>'Table-9'!F22</f>
        <v>10.08989187614555</v>
      </c>
      <c r="L22" s="441"/>
      <c r="M22" s="15"/>
    </row>
    <row r="23" spans="1:13" ht="24.75" customHeight="1">
      <c r="A23" s="371">
        <v>16</v>
      </c>
      <c r="B23" s="147" t="s">
        <v>16</v>
      </c>
      <c r="C23" s="273">
        <f>'Table-1-3'!D25</f>
        <v>16.445973798716366</v>
      </c>
      <c r="D23" s="273">
        <f>'Table-1-3'!G78</f>
        <v>33.21229625196561</v>
      </c>
      <c r="E23" s="273">
        <f>'Table-1-3'!G105</f>
        <v>26.95026512816388</v>
      </c>
      <c r="F23" s="159">
        <f>'Table-4'!F48</f>
        <v>4.992313275038228</v>
      </c>
      <c r="G23" s="159">
        <f>'Table-5(Rev)'!H47</f>
        <v>6.504820689969295</v>
      </c>
      <c r="H23" s="159">
        <f>'Tab-6'!H24</f>
        <v>6.643358236923769</v>
      </c>
      <c r="I23" s="159">
        <f>'Table-7(IMR)'!P24</f>
        <v>1.0033328739235672</v>
      </c>
      <c r="J23" s="159">
        <f>'Table-8'!H21</f>
        <v>5.997285487869945</v>
      </c>
      <c r="K23" s="368">
        <f>'Table-9'!F23</f>
        <v>5.863847493030551</v>
      </c>
      <c r="L23" s="441"/>
      <c r="M23" s="15"/>
    </row>
    <row r="24" spans="1:13" ht="24.75" customHeight="1">
      <c r="A24" s="371">
        <v>17</v>
      </c>
      <c r="B24" s="147" t="s">
        <v>17</v>
      </c>
      <c r="C24" s="159">
        <f>'Table-1-3'!D26</f>
        <v>8.673474381032355</v>
      </c>
      <c r="D24" s="159">
        <f>'Table-1-3'!G79</f>
        <v>10.548886882301153</v>
      </c>
      <c r="E24" s="159">
        <f>'Table-1-3'!G106</f>
        <v>8.559941057017419</v>
      </c>
      <c r="F24" s="274">
        <f>'Table-4'!F49</f>
        <v>3.960829466242789</v>
      </c>
      <c r="G24" s="274">
        <f>'Table-5(Rev)'!H48</f>
        <v>0.14902348878036895</v>
      </c>
      <c r="H24" s="159">
        <f>'Tab-6'!H25</f>
        <v>4.994328427466895</v>
      </c>
      <c r="I24" s="273">
        <f>'Table-7(IMR)'!P25</f>
        <v>9.658168016644849</v>
      </c>
      <c r="J24" s="273">
        <f>'Table-8'!H22</f>
        <v>15.852056478480883</v>
      </c>
      <c r="K24" s="368">
        <f>'Table-9'!F24</f>
        <v>8.876092566172817</v>
      </c>
      <c r="L24" s="441"/>
      <c r="M24" s="15"/>
    </row>
    <row r="25" spans="1:13" ht="25.5" customHeight="1" thickBot="1">
      <c r="A25" s="372"/>
      <c r="B25" s="373" t="s">
        <v>28</v>
      </c>
      <c r="C25" s="374">
        <f>SUM(C8:C24)</f>
        <v>100.00000000000001</v>
      </c>
      <c r="D25" s="374">
        <v>100</v>
      </c>
      <c r="E25" s="374">
        <v>100</v>
      </c>
      <c r="F25" s="374">
        <v>100</v>
      </c>
      <c r="G25" s="374">
        <v>100</v>
      </c>
      <c r="H25" s="374">
        <f>SUM(H8:H24)</f>
        <v>100</v>
      </c>
      <c r="I25" s="374">
        <f>SUM(I8:I24)</f>
        <v>100</v>
      </c>
      <c r="J25" s="374">
        <f>SUM(J8:J24)</f>
        <v>100</v>
      </c>
      <c r="K25" s="375">
        <v>100</v>
      </c>
      <c r="L25" s="441"/>
      <c r="M25" s="15"/>
    </row>
    <row r="26" spans="1:13" ht="25.5" customHeight="1">
      <c r="A26" s="31"/>
      <c r="B26" s="32"/>
      <c r="C26" s="259"/>
      <c r="D26" s="259"/>
      <c r="E26" s="259"/>
      <c r="F26" s="259"/>
      <c r="G26" s="259"/>
      <c r="H26" s="259"/>
      <c r="I26" s="259"/>
      <c r="J26" s="259"/>
      <c r="K26" s="259"/>
      <c r="L26" s="276"/>
      <c r="M26" s="15"/>
    </row>
    <row r="27" spans="1:13" ht="21.75" customHeight="1">
      <c r="A27" s="693" t="s">
        <v>247</v>
      </c>
      <c r="B27" s="693"/>
      <c r="C27" s="693"/>
      <c r="D27" s="693"/>
      <c r="E27" s="693"/>
      <c r="F27" s="693"/>
      <c r="G27" s="693"/>
      <c r="H27" s="693"/>
      <c r="I27" s="693"/>
      <c r="J27" s="693"/>
      <c r="K27" s="693"/>
      <c r="L27" s="693"/>
      <c r="M27" s="245"/>
    </row>
    <row r="28" spans="1:13" ht="22.5" customHeight="1">
      <c r="A28" s="707" t="s">
        <v>119</v>
      </c>
      <c r="B28" s="707"/>
      <c r="C28" s="707"/>
      <c r="D28" s="707"/>
      <c r="E28" s="707"/>
      <c r="F28" s="707"/>
      <c r="G28" s="707"/>
      <c r="H28" s="707"/>
      <c r="I28" s="707"/>
      <c r="J28" s="707"/>
      <c r="K28" s="707"/>
      <c r="L28" s="707"/>
      <c r="M28" s="247"/>
    </row>
    <row r="29" spans="1:13" ht="67.5" customHeight="1">
      <c r="A29" s="706" t="s">
        <v>289</v>
      </c>
      <c r="B29" s="706"/>
      <c r="C29" s="706"/>
      <c r="D29" s="706"/>
      <c r="E29" s="706"/>
      <c r="F29" s="706"/>
      <c r="G29" s="706"/>
      <c r="H29" s="706"/>
      <c r="I29" s="706"/>
      <c r="J29" s="706"/>
      <c r="K29" s="706"/>
      <c r="L29" s="706"/>
      <c r="M29" s="246"/>
    </row>
    <row r="30" spans="1:15" ht="18" customHeight="1">
      <c r="A30" s="692" t="s">
        <v>126</v>
      </c>
      <c r="B30" s="692"/>
      <c r="C30" s="692"/>
      <c r="D30" s="692"/>
      <c r="E30" s="692"/>
      <c r="F30" s="692"/>
      <c r="G30" s="692"/>
      <c r="H30" s="692"/>
      <c r="I30" s="692"/>
      <c r="J30" s="692"/>
      <c r="K30" s="692"/>
      <c r="L30" s="692"/>
      <c r="M30" s="254"/>
      <c r="N30" s="688"/>
      <c r="O30" s="688"/>
    </row>
    <row r="31" spans="1:16" ht="57" customHeight="1">
      <c r="A31" s="701" t="s">
        <v>77</v>
      </c>
      <c r="B31" s="701"/>
      <c r="C31" s="126" t="s">
        <v>78</v>
      </c>
      <c r="D31" s="705" t="s">
        <v>79</v>
      </c>
      <c r="E31" s="705"/>
      <c r="F31" s="164" t="s">
        <v>80</v>
      </c>
      <c r="G31" s="164" t="s">
        <v>81</v>
      </c>
      <c r="H31" s="164" t="s">
        <v>82</v>
      </c>
      <c r="I31" s="164" t="s">
        <v>83</v>
      </c>
      <c r="J31" s="164" t="s">
        <v>84</v>
      </c>
      <c r="K31" s="164" t="s">
        <v>85</v>
      </c>
      <c r="L31" s="697" t="s">
        <v>169</v>
      </c>
      <c r="M31" s="255"/>
      <c r="N31" s="689"/>
      <c r="O31" s="690"/>
      <c r="P31" s="690"/>
    </row>
    <row r="32" spans="1:16" ht="33" customHeight="1">
      <c r="A32" s="701"/>
      <c r="B32" s="701"/>
      <c r="C32" s="128"/>
      <c r="D32" s="162" t="s">
        <v>86</v>
      </c>
      <c r="E32" s="162" t="s">
        <v>87</v>
      </c>
      <c r="F32" s="126" t="s">
        <v>4</v>
      </c>
      <c r="G32" s="126" t="s">
        <v>4</v>
      </c>
      <c r="H32" s="126" t="s">
        <v>4</v>
      </c>
      <c r="I32" s="128"/>
      <c r="J32" s="128"/>
      <c r="K32" s="126" t="s">
        <v>4</v>
      </c>
      <c r="L32" s="698"/>
      <c r="M32" s="255"/>
      <c r="N32" s="689"/>
      <c r="O32" s="690"/>
      <c r="P32" s="690"/>
    </row>
    <row r="33" spans="1:16" ht="17.25" customHeight="1">
      <c r="A33" s="701"/>
      <c r="B33" s="701"/>
      <c r="C33" s="126" t="s">
        <v>88</v>
      </c>
      <c r="D33" s="126" t="s">
        <v>89</v>
      </c>
      <c r="E33" s="123" t="s">
        <v>90</v>
      </c>
      <c r="F33" s="126" t="s">
        <v>91</v>
      </c>
      <c r="G33" s="126" t="s">
        <v>92</v>
      </c>
      <c r="H33" s="126" t="s">
        <v>93</v>
      </c>
      <c r="I33" s="126" t="s">
        <v>93</v>
      </c>
      <c r="J33" s="126" t="s">
        <v>94</v>
      </c>
      <c r="K33" s="126" t="s">
        <v>95</v>
      </c>
      <c r="L33" s="168" t="s">
        <v>100</v>
      </c>
      <c r="M33" s="256"/>
      <c r="N33" s="606"/>
      <c r="O33" s="607"/>
      <c r="P33" s="608"/>
    </row>
    <row r="34" spans="1:16" ht="31.5" customHeight="1" hidden="1">
      <c r="A34" s="701"/>
      <c r="B34" s="701"/>
      <c r="C34" s="136">
        <f>$C$83*60/100</f>
        <v>15770.513219999999</v>
      </c>
      <c r="D34" s="136">
        <f>$C$83*20/100</f>
        <v>5256.83774</v>
      </c>
      <c r="E34" s="136">
        <f>$C$83*5/100</f>
        <v>1314.209435</v>
      </c>
      <c r="F34" s="136">
        <f>$C$83*2.5/100</f>
        <v>657.1047175</v>
      </c>
      <c r="G34" s="136">
        <f>$C$83*2/100</f>
        <v>525.683774</v>
      </c>
      <c r="H34" s="136">
        <f>$C$83*1/100</f>
        <v>262.841887</v>
      </c>
      <c r="I34" s="136">
        <f>$C$83*1/100</f>
        <v>262.841887</v>
      </c>
      <c r="J34" s="136">
        <f>$C$83*0.5/100</f>
        <v>131.4209435</v>
      </c>
      <c r="K34" s="136">
        <f>$C$83*0.5/100</f>
        <v>131.4209435</v>
      </c>
      <c r="L34" s="169">
        <f>SUM(C34:K34)</f>
        <v>24312.8745475</v>
      </c>
      <c r="M34" s="257"/>
      <c r="N34" s="691"/>
      <c r="O34" s="691"/>
      <c r="P34" s="608"/>
    </row>
    <row r="35" spans="1:16" ht="30.75" customHeight="1">
      <c r="A35" s="160" t="s">
        <v>51</v>
      </c>
      <c r="B35" s="128">
        <v>1</v>
      </c>
      <c r="C35" s="170">
        <v>2</v>
      </c>
      <c r="D35" s="130">
        <v>3</v>
      </c>
      <c r="E35" s="170">
        <v>4</v>
      </c>
      <c r="F35" s="130">
        <v>5</v>
      </c>
      <c r="G35" s="170">
        <v>6</v>
      </c>
      <c r="H35" s="130">
        <v>7</v>
      </c>
      <c r="I35" s="170">
        <v>8</v>
      </c>
      <c r="J35" s="130">
        <v>9</v>
      </c>
      <c r="K35" s="170">
        <v>10</v>
      </c>
      <c r="L35" s="167" t="s">
        <v>101</v>
      </c>
      <c r="M35" s="258"/>
      <c r="N35" s="609"/>
      <c r="O35" s="609"/>
      <c r="P35" s="609"/>
    </row>
    <row r="36" spans="1:16" ht="30" customHeight="1">
      <c r="A36" s="137">
        <v>1</v>
      </c>
      <c r="B36" s="147" t="s">
        <v>2</v>
      </c>
      <c r="C36" s="159">
        <f aca="true" t="shared" si="0" ref="C36:C52">C8*$C$34/100</f>
        <v>1342.8786896024008</v>
      </c>
      <c r="D36" s="159">
        <f aca="true" t="shared" si="1" ref="D36:D52">D8*$D$34/100</f>
        <v>0</v>
      </c>
      <c r="E36" s="159">
        <f aca="true" t="shared" si="2" ref="E36:E52">E8*$E$34/100</f>
        <v>83.32965855450287</v>
      </c>
      <c r="F36" s="159">
        <f aca="true" t="shared" si="3" ref="F36:F52">F8*$F$34/100</f>
        <v>39.81700250819877</v>
      </c>
      <c r="G36" s="159">
        <f aca="true" t="shared" si="4" ref="G36:G52">G8*$G$34/100</f>
        <v>15.140138136971869</v>
      </c>
      <c r="H36" s="159">
        <f aca="true" t="shared" si="5" ref="H36:H52">H8*$H$34/100</f>
        <v>16.393024136778678</v>
      </c>
      <c r="I36" s="159">
        <f aca="true" t="shared" si="6" ref="I36:I52">I8*$I$34/100</f>
        <v>18.81518261550998</v>
      </c>
      <c r="J36" s="159">
        <f aca="true" t="shared" si="7" ref="J36:J52">J8*$J$34/100</f>
        <v>12.76751160183024</v>
      </c>
      <c r="K36" s="159">
        <f aca="true" t="shared" si="8" ref="K36:K52">K8*$K$34/100</f>
        <v>4.991715993236906</v>
      </c>
      <c r="L36" s="163">
        <f aca="true" t="shared" si="9" ref="L36:L52">SUM(C36:K36)</f>
        <v>1534.13292314943</v>
      </c>
      <c r="N36" s="610"/>
      <c r="O36" s="611"/>
      <c r="P36" s="611"/>
    </row>
    <row r="37" spans="1:16" ht="30" customHeight="1">
      <c r="A37" s="137">
        <v>2</v>
      </c>
      <c r="B37" s="147" t="s">
        <v>96</v>
      </c>
      <c r="C37" s="159">
        <f t="shared" si="0"/>
        <v>1300.372564609124</v>
      </c>
      <c r="D37" s="159">
        <f t="shared" si="1"/>
        <v>1115.413688824939</v>
      </c>
      <c r="E37" s="159">
        <f t="shared" si="2"/>
        <v>226.27684648299729</v>
      </c>
      <c r="F37" s="159">
        <f t="shared" si="3"/>
        <v>26.136091146063023</v>
      </c>
      <c r="G37" s="159">
        <f t="shared" si="4"/>
        <v>19.99174783700452</v>
      </c>
      <c r="H37" s="159">
        <f t="shared" si="5"/>
        <v>12.355948197524397</v>
      </c>
      <c r="I37" s="159">
        <f t="shared" si="6"/>
        <v>6.098810099511445</v>
      </c>
      <c r="J37" s="159">
        <f t="shared" si="7"/>
        <v>8.283212906606037</v>
      </c>
      <c r="K37" s="159">
        <f t="shared" si="8"/>
        <v>0</v>
      </c>
      <c r="L37" s="163">
        <f t="shared" si="9"/>
        <v>2714.9289101037693</v>
      </c>
      <c r="N37" s="610"/>
      <c r="O37" s="611"/>
      <c r="P37" s="611"/>
    </row>
    <row r="38" spans="1:16" ht="30" customHeight="1">
      <c r="A38" s="137">
        <v>3</v>
      </c>
      <c r="B38" s="147" t="s">
        <v>138</v>
      </c>
      <c r="C38" s="159">
        <f t="shared" si="0"/>
        <v>359.24929751034966</v>
      </c>
      <c r="D38" s="159">
        <f t="shared" si="1"/>
        <v>193.2364956254428</v>
      </c>
      <c r="E38" s="159">
        <f t="shared" si="2"/>
        <v>39.20065290001403</v>
      </c>
      <c r="F38" s="159">
        <f t="shared" si="3"/>
        <v>38.77350510242813</v>
      </c>
      <c r="G38" s="159">
        <f t="shared" si="4"/>
        <v>39.636831615033486</v>
      </c>
      <c r="H38" s="159">
        <f t="shared" si="5"/>
        <v>21.039634590514588</v>
      </c>
      <c r="I38" s="159">
        <f t="shared" si="6"/>
        <v>6.241883901315541</v>
      </c>
      <c r="J38" s="159">
        <f t="shared" si="7"/>
        <v>5.444602983505324</v>
      </c>
      <c r="K38" s="159">
        <f t="shared" si="8"/>
        <v>2.4202768414315137</v>
      </c>
      <c r="L38" s="163">
        <f t="shared" si="9"/>
        <v>705.243181070035</v>
      </c>
      <c r="N38" s="610"/>
      <c r="O38" s="611"/>
      <c r="P38" s="611"/>
    </row>
    <row r="39" spans="1:16" ht="30" customHeight="1">
      <c r="A39" s="137">
        <v>4</v>
      </c>
      <c r="B39" s="147" t="s">
        <v>5</v>
      </c>
      <c r="C39" s="159">
        <f t="shared" si="0"/>
        <v>24.540573253198826</v>
      </c>
      <c r="D39" s="159">
        <f t="shared" si="1"/>
        <v>0</v>
      </c>
      <c r="E39" s="159">
        <f t="shared" si="2"/>
        <v>0.16687152571226652</v>
      </c>
      <c r="F39" s="159">
        <f t="shared" si="3"/>
        <v>41.71677415868478</v>
      </c>
      <c r="G39" s="159">
        <f t="shared" si="4"/>
        <v>5.698890755314458</v>
      </c>
      <c r="H39" s="159">
        <f t="shared" si="5"/>
        <v>12.582429961221804</v>
      </c>
      <c r="I39" s="159">
        <f t="shared" si="6"/>
        <v>25.389169237447717</v>
      </c>
      <c r="J39" s="159">
        <f t="shared" si="7"/>
        <v>0</v>
      </c>
      <c r="K39" s="159">
        <f t="shared" si="8"/>
        <v>0</v>
      </c>
      <c r="L39" s="163">
        <f t="shared" si="9"/>
        <v>110.09470889157984</v>
      </c>
      <c r="N39" s="610"/>
      <c r="O39" s="611"/>
      <c r="P39" s="611"/>
    </row>
    <row r="40" spans="1:16" ht="30" customHeight="1">
      <c r="A40" s="137">
        <v>5</v>
      </c>
      <c r="B40" s="147" t="s">
        <v>6</v>
      </c>
      <c r="C40" s="159">
        <f t="shared" si="0"/>
        <v>824.100231623458</v>
      </c>
      <c r="D40" s="159">
        <f t="shared" si="1"/>
        <v>0</v>
      </c>
      <c r="E40" s="159">
        <f t="shared" si="2"/>
        <v>28.680211605927834</v>
      </c>
      <c r="F40" s="159">
        <f t="shared" si="3"/>
        <v>39.87244447624396</v>
      </c>
      <c r="G40" s="159">
        <f t="shared" si="4"/>
        <v>24.07231626938483</v>
      </c>
      <c r="H40" s="159">
        <f t="shared" si="5"/>
        <v>11.277812296144223</v>
      </c>
      <c r="I40" s="159">
        <f t="shared" si="6"/>
        <v>15.205841491570013</v>
      </c>
      <c r="J40" s="159">
        <f t="shared" si="7"/>
        <v>6.212826710419397</v>
      </c>
      <c r="K40" s="159">
        <f t="shared" si="8"/>
        <v>15.306446430883533</v>
      </c>
      <c r="L40" s="163">
        <f t="shared" si="9"/>
        <v>964.7281309040318</v>
      </c>
      <c r="N40" s="610"/>
      <c r="O40" s="611"/>
      <c r="P40" s="611"/>
    </row>
    <row r="41" spans="1:16" ht="30" customHeight="1">
      <c r="A41" s="137">
        <v>6</v>
      </c>
      <c r="B41" s="147" t="s">
        <v>7</v>
      </c>
      <c r="C41" s="159">
        <f t="shared" si="0"/>
        <v>309.8285959023354</v>
      </c>
      <c r="D41" s="159">
        <f t="shared" si="1"/>
        <v>0</v>
      </c>
      <c r="E41" s="159">
        <f t="shared" si="2"/>
        <v>3.2653930471505404</v>
      </c>
      <c r="F41" s="159">
        <f t="shared" si="3"/>
        <v>48.24662008168532</v>
      </c>
      <c r="G41" s="159">
        <f t="shared" si="4"/>
        <v>16.84990058526164</v>
      </c>
      <c r="H41" s="159">
        <f t="shared" si="5"/>
        <v>14.272518494811655</v>
      </c>
      <c r="I41" s="159">
        <f t="shared" si="6"/>
        <v>14.306377482544477</v>
      </c>
      <c r="J41" s="159">
        <f t="shared" si="7"/>
        <v>6.874255586798727</v>
      </c>
      <c r="K41" s="159">
        <f t="shared" si="8"/>
        <v>8.594528139511755</v>
      </c>
      <c r="L41" s="163">
        <f t="shared" si="9"/>
        <v>422.2381893200995</v>
      </c>
      <c r="N41" s="610"/>
      <c r="O41" s="611"/>
      <c r="P41" s="611"/>
    </row>
    <row r="42" spans="1:16" ht="30" customHeight="1">
      <c r="A42" s="137">
        <v>7</v>
      </c>
      <c r="B42" s="147" t="s">
        <v>144</v>
      </c>
      <c r="C42" s="159">
        <f t="shared" si="0"/>
        <v>439.1682209726537</v>
      </c>
      <c r="D42" s="159">
        <f t="shared" si="1"/>
        <v>257.43599579903633</v>
      </c>
      <c r="E42" s="159">
        <f t="shared" si="2"/>
        <v>52.22439520352572</v>
      </c>
      <c r="F42" s="159">
        <f t="shared" si="3"/>
        <v>27.964870898813466</v>
      </c>
      <c r="G42" s="159">
        <f t="shared" si="4"/>
        <v>18.570569458904053</v>
      </c>
      <c r="H42" s="159">
        <f t="shared" si="5"/>
        <v>17.51929015634547</v>
      </c>
      <c r="I42" s="159">
        <f t="shared" si="6"/>
        <v>10.873801164163643</v>
      </c>
      <c r="J42" s="159">
        <f t="shared" si="7"/>
        <v>3.8082252486324215</v>
      </c>
      <c r="K42" s="159">
        <f t="shared" si="8"/>
        <v>0.9618980835959728</v>
      </c>
      <c r="L42" s="163">
        <f t="shared" si="9"/>
        <v>828.527266985671</v>
      </c>
      <c r="N42" s="610"/>
      <c r="O42" s="611"/>
      <c r="P42" s="611"/>
    </row>
    <row r="43" spans="1:16" ht="30" customHeight="1">
      <c r="A43" s="137">
        <v>8</v>
      </c>
      <c r="B43" s="147" t="s">
        <v>8</v>
      </c>
      <c r="C43" s="159">
        <f t="shared" si="0"/>
        <v>904.4204474785817</v>
      </c>
      <c r="D43" s="159">
        <f t="shared" si="1"/>
        <v>0</v>
      </c>
      <c r="E43" s="159">
        <f t="shared" si="2"/>
        <v>52.59246142371661</v>
      </c>
      <c r="F43" s="159">
        <f t="shared" si="3"/>
        <v>51.207141587132526</v>
      </c>
      <c r="G43" s="159">
        <f t="shared" si="4"/>
        <v>18.377930591745848</v>
      </c>
      <c r="H43" s="159">
        <f t="shared" si="5"/>
        <v>12.787848253067715</v>
      </c>
      <c r="I43" s="159">
        <f t="shared" si="6"/>
        <v>19.160999902303118</v>
      </c>
      <c r="J43" s="159">
        <f t="shared" si="7"/>
        <v>4.891683775058249</v>
      </c>
      <c r="K43" s="159">
        <f t="shared" si="8"/>
        <v>13.061333469224419</v>
      </c>
      <c r="L43" s="163">
        <f t="shared" si="9"/>
        <v>1076.49984648083</v>
      </c>
      <c r="N43" s="610"/>
      <c r="O43" s="611"/>
      <c r="P43" s="611"/>
    </row>
    <row r="44" spans="1:16" ht="30" customHeight="1">
      <c r="A44" s="137">
        <v>9</v>
      </c>
      <c r="B44" s="147" t="s">
        <v>9</v>
      </c>
      <c r="C44" s="159">
        <f t="shared" si="0"/>
        <v>658.9529776553903</v>
      </c>
      <c r="D44" s="159">
        <f t="shared" si="1"/>
        <v>0</v>
      </c>
      <c r="E44" s="159">
        <f t="shared" si="2"/>
        <v>17.66751930612786</v>
      </c>
      <c r="F44" s="159">
        <f t="shared" si="3"/>
        <v>44.96939306644293</v>
      </c>
      <c r="G44" s="159">
        <f t="shared" si="4"/>
        <v>11.862449269374087</v>
      </c>
      <c r="H44" s="159">
        <f t="shared" si="5"/>
        <v>12.459728430494328</v>
      </c>
      <c r="I44" s="159">
        <f t="shared" si="6"/>
        <v>25.389169237447717</v>
      </c>
      <c r="J44" s="159">
        <f t="shared" si="7"/>
        <v>3.6578390986312</v>
      </c>
      <c r="K44" s="159">
        <f t="shared" si="8"/>
        <v>8.189353323926085</v>
      </c>
      <c r="L44" s="163">
        <f t="shared" si="9"/>
        <v>783.1484293878345</v>
      </c>
      <c r="N44" s="610"/>
      <c r="O44" s="611"/>
      <c r="P44" s="611"/>
    </row>
    <row r="45" spans="1:16" ht="30" customHeight="1">
      <c r="A45" s="137">
        <v>10</v>
      </c>
      <c r="B45" s="147" t="s">
        <v>10</v>
      </c>
      <c r="C45" s="159">
        <f t="shared" si="0"/>
        <v>926.5532663748629</v>
      </c>
      <c r="D45" s="159">
        <f t="shared" si="1"/>
        <v>552.9170607721613</v>
      </c>
      <c r="E45" s="159">
        <f t="shared" si="2"/>
        <v>112.16675044572492</v>
      </c>
      <c r="F45" s="159">
        <f t="shared" si="3"/>
        <v>37.77611615785037</v>
      </c>
      <c r="G45" s="159">
        <f t="shared" si="4"/>
        <v>26.541308595737313</v>
      </c>
      <c r="H45" s="159">
        <f t="shared" si="5"/>
        <v>19.883563688330455</v>
      </c>
      <c r="I45" s="159">
        <f t="shared" si="6"/>
        <v>4.0256016955692875</v>
      </c>
      <c r="J45" s="159">
        <f t="shared" si="7"/>
        <v>5.357310669042277</v>
      </c>
      <c r="K45" s="159">
        <f t="shared" si="8"/>
        <v>12.972302390491846</v>
      </c>
      <c r="L45" s="163">
        <f t="shared" si="9"/>
        <v>1698.193280789771</v>
      </c>
      <c r="N45" s="610"/>
      <c r="O45" s="611"/>
      <c r="P45" s="611"/>
    </row>
    <row r="46" spans="1:16" ht="30" customHeight="1">
      <c r="A46" s="137">
        <v>11</v>
      </c>
      <c r="B46" s="147" t="s">
        <v>11</v>
      </c>
      <c r="C46" s="159">
        <f t="shared" si="0"/>
        <v>1556.150162063219</v>
      </c>
      <c r="D46" s="159">
        <f t="shared" si="1"/>
        <v>0</v>
      </c>
      <c r="E46" s="159">
        <f t="shared" si="2"/>
        <v>10.581543841769532</v>
      </c>
      <c r="F46" s="159">
        <f t="shared" si="3"/>
        <v>42.498839035497525</v>
      </c>
      <c r="G46" s="159">
        <f t="shared" si="4"/>
        <v>7.919919750645914</v>
      </c>
      <c r="H46" s="159">
        <f t="shared" si="5"/>
        <v>14.169811503711504</v>
      </c>
      <c r="I46" s="159">
        <f t="shared" si="6"/>
        <v>25.389169237447717</v>
      </c>
      <c r="J46" s="159">
        <f t="shared" si="7"/>
        <v>13.905596163945487</v>
      </c>
      <c r="K46" s="159">
        <f t="shared" si="8"/>
        <v>16.091945088979895</v>
      </c>
      <c r="L46" s="163">
        <f t="shared" si="9"/>
        <v>1686.7069866852169</v>
      </c>
      <c r="N46" s="610"/>
      <c r="O46" s="611"/>
      <c r="P46" s="611"/>
    </row>
    <row r="47" spans="1:16" ht="30" customHeight="1">
      <c r="A47" s="137">
        <v>12</v>
      </c>
      <c r="B47" s="147" t="s">
        <v>97</v>
      </c>
      <c r="C47" s="159">
        <f t="shared" si="0"/>
        <v>677.412427725092</v>
      </c>
      <c r="D47" s="159">
        <f t="shared" si="1"/>
        <v>401.9420856372933</v>
      </c>
      <c r="E47" s="159">
        <f t="shared" si="2"/>
        <v>81.53942211577066</v>
      </c>
      <c r="F47" s="159">
        <f t="shared" si="3"/>
        <v>31.380107934268597</v>
      </c>
      <c r="G47" s="159">
        <f t="shared" si="4"/>
        <v>256.32579898263856</v>
      </c>
      <c r="H47" s="159">
        <f t="shared" si="5"/>
        <v>14.929860488554327</v>
      </c>
      <c r="I47" s="159">
        <f t="shared" si="6"/>
        <v>11.05772936686896</v>
      </c>
      <c r="J47" s="159">
        <f t="shared" si="7"/>
        <v>7.0698460890938755</v>
      </c>
      <c r="K47" s="159">
        <f t="shared" si="8"/>
        <v>1.7086350268208097</v>
      </c>
      <c r="L47" s="163">
        <f t="shared" si="9"/>
        <v>1483.3659133664012</v>
      </c>
      <c r="N47" s="610"/>
      <c r="O47" s="611"/>
      <c r="P47" s="611"/>
    </row>
    <row r="48" spans="1:16" ht="30" customHeight="1">
      <c r="A48" s="137">
        <v>13</v>
      </c>
      <c r="B48" s="147" t="s">
        <v>13</v>
      </c>
      <c r="C48" s="159">
        <f t="shared" si="0"/>
        <v>418.3010165460343</v>
      </c>
      <c r="D48" s="159">
        <f t="shared" si="1"/>
        <v>0</v>
      </c>
      <c r="E48" s="159">
        <f t="shared" si="2"/>
        <v>2.844372383555878</v>
      </c>
      <c r="F48" s="159">
        <f t="shared" si="3"/>
        <v>39.43401517770141</v>
      </c>
      <c r="G48" s="159">
        <f t="shared" si="4"/>
        <v>0.8006541435910107</v>
      </c>
      <c r="H48" s="159">
        <f t="shared" si="5"/>
        <v>13.239834382797193</v>
      </c>
      <c r="I48" s="159">
        <f t="shared" si="6"/>
        <v>22.61917277023461</v>
      </c>
      <c r="J48" s="159">
        <f t="shared" si="7"/>
        <v>5.418385290829435</v>
      </c>
      <c r="K48" s="159">
        <f t="shared" si="8"/>
        <v>3.6565381951014317</v>
      </c>
      <c r="L48" s="163">
        <f t="shared" si="9"/>
        <v>506.3139888898453</v>
      </c>
      <c r="N48" s="610"/>
      <c r="O48" s="611"/>
      <c r="P48" s="611"/>
    </row>
    <row r="49" spans="1:16" ht="30" customHeight="1">
      <c r="A49" s="137">
        <v>14</v>
      </c>
      <c r="B49" s="147" t="s">
        <v>14</v>
      </c>
      <c r="C49" s="159">
        <f t="shared" si="0"/>
        <v>795.3615225684541</v>
      </c>
      <c r="D49" s="159">
        <f t="shared" si="1"/>
        <v>435.43802286847693</v>
      </c>
      <c r="E49" s="159">
        <f t="shared" si="2"/>
        <v>88.33452883052625</v>
      </c>
      <c r="F49" s="159">
        <f t="shared" si="3"/>
        <v>38.8175954744018</v>
      </c>
      <c r="G49" s="159">
        <f t="shared" si="4"/>
        <v>17.83477876543876</v>
      </c>
      <c r="H49" s="159">
        <f t="shared" si="5"/>
        <v>25.983107788858366</v>
      </c>
      <c r="I49" s="159">
        <f t="shared" si="6"/>
        <v>4.856919437326218</v>
      </c>
      <c r="J49" s="159">
        <f t="shared" si="7"/>
        <v>11.101697947288903</v>
      </c>
      <c r="K49" s="159">
        <f t="shared" si="8"/>
        <v>10.834371117895973</v>
      </c>
      <c r="L49" s="163">
        <f t="shared" si="9"/>
        <v>1428.5625447986674</v>
      </c>
      <c r="N49" s="610"/>
      <c r="O49" s="611"/>
      <c r="P49" s="611"/>
    </row>
    <row r="50" spans="1:16" ht="30" customHeight="1">
      <c r="A50" s="137">
        <v>15</v>
      </c>
      <c r="B50" s="147" t="s">
        <v>15</v>
      </c>
      <c r="C50" s="159">
        <f t="shared" si="0"/>
        <v>1271.7573301365264</v>
      </c>
      <c r="D50" s="159">
        <f t="shared" si="1"/>
        <v>0</v>
      </c>
      <c r="E50" s="159">
        <f t="shared" si="2"/>
        <v>48.660327259371414</v>
      </c>
      <c r="F50" s="159">
        <f t="shared" si="3"/>
        <v>49.66267737712101</v>
      </c>
      <c r="G50" s="159">
        <f t="shared" si="4"/>
        <v>11.099621891646986</v>
      </c>
      <c r="H50" s="159">
        <f t="shared" si="5"/>
        <v>13.358759399013477</v>
      </c>
      <c r="I50" s="159">
        <f t="shared" si="6"/>
        <v>25.389169237447717</v>
      </c>
      <c r="J50" s="159">
        <f t="shared" si="7"/>
        <v>7.913338067598707</v>
      </c>
      <c r="K50" s="159">
        <f t="shared" si="8"/>
        <v>13.260231101760333</v>
      </c>
      <c r="L50" s="163">
        <f t="shared" si="9"/>
        <v>1441.1014544704863</v>
      </c>
      <c r="N50" s="610"/>
      <c r="O50" s="611"/>
      <c r="P50" s="611"/>
    </row>
    <row r="51" spans="1:16" ht="30" customHeight="1">
      <c r="A51" s="161">
        <v>16</v>
      </c>
      <c r="B51" s="147" t="s">
        <v>16</v>
      </c>
      <c r="C51" s="159">
        <f t="shared" si="0"/>
        <v>2593.614472084301</v>
      </c>
      <c r="D51" s="159">
        <f t="shared" si="1"/>
        <v>1745.9165236939339</v>
      </c>
      <c r="E51" s="159">
        <f t="shared" si="2"/>
        <v>354.1829270718445</v>
      </c>
      <c r="F51" s="159">
        <f t="shared" si="3"/>
        <v>32.80472604265495</v>
      </c>
      <c r="G51" s="159">
        <f t="shared" si="4"/>
        <v>34.19478689496343</v>
      </c>
      <c r="H51" s="159">
        <f t="shared" si="5"/>
        <v>17.461528150100364</v>
      </c>
      <c r="I51" s="159">
        <f t="shared" si="6"/>
        <v>2.6371790587120345</v>
      </c>
      <c r="J51" s="159">
        <f t="shared" si="7"/>
        <v>7.881689172547259</v>
      </c>
      <c r="K51" s="159">
        <f t="shared" si="8"/>
        <v>7.706323700741847</v>
      </c>
      <c r="L51" s="163">
        <f t="shared" si="9"/>
        <v>4796.400155869798</v>
      </c>
      <c r="N51" s="610"/>
      <c r="O51" s="611"/>
      <c r="P51" s="611"/>
    </row>
    <row r="52" spans="1:16" ht="30" customHeight="1">
      <c r="A52" s="161">
        <v>17</v>
      </c>
      <c r="B52" s="147" t="s">
        <v>17</v>
      </c>
      <c r="C52" s="159">
        <f t="shared" si="0"/>
        <v>1367.8514238940206</v>
      </c>
      <c r="D52" s="159">
        <f t="shared" si="1"/>
        <v>554.5378667787163</v>
      </c>
      <c r="E52" s="159">
        <f t="shared" si="2"/>
        <v>112.49555300176164</v>
      </c>
      <c r="F52" s="159">
        <f t="shared" si="3"/>
        <v>26.02679727481144</v>
      </c>
      <c r="G52" s="159">
        <f t="shared" si="4"/>
        <v>0.78339229996711</v>
      </c>
      <c r="H52" s="159">
        <f t="shared" si="5"/>
        <v>13.127187081731414</v>
      </c>
      <c r="I52" s="159">
        <f t="shared" si="6"/>
        <v>25.385711064579795</v>
      </c>
      <c r="J52" s="159">
        <f t="shared" si="7"/>
        <v>20.832922188172446</v>
      </c>
      <c r="K52" s="159">
        <f t="shared" si="8"/>
        <v>11.665044596397676</v>
      </c>
      <c r="L52" s="163">
        <f t="shared" si="9"/>
        <v>2132.7058981801583</v>
      </c>
      <c r="N52" s="610"/>
      <c r="O52" s="611"/>
      <c r="P52" s="611"/>
    </row>
    <row r="53" spans="1:16" ht="30" customHeight="1">
      <c r="A53" s="137"/>
      <c r="B53" s="126" t="s">
        <v>28</v>
      </c>
      <c r="C53" s="159">
        <f aca="true" t="shared" si="10" ref="C53:K53">SUM(C36:C52)</f>
        <v>15770.513220000003</v>
      </c>
      <c r="D53" s="159">
        <f t="shared" si="10"/>
        <v>5256.83774</v>
      </c>
      <c r="E53" s="159">
        <f t="shared" si="10"/>
        <v>1314.2094349999998</v>
      </c>
      <c r="F53" s="159">
        <f t="shared" si="10"/>
        <v>657.1047174999999</v>
      </c>
      <c r="G53" s="159">
        <f t="shared" si="10"/>
        <v>525.7010358436238</v>
      </c>
      <c r="H53" s="159">
        <f t="shared" si="10"/>
        <v>262.841887</v>
      </c>
      <c r="I53" s="159">
        <f t="shared" si="10"/>
        <v>262.84188699999993</v>
      </c>
      <c r="J53" s="159">
        <f t="shared" si="10"/>
        <v>131.42094349999996</v>
      </c>
      <c r="K53" s="159">
        <f t="shared" si="10"/>
        <v>131.4209435</v>
      </c>
      <c r="L53" s="163">
        <f>SUM(L36:L52)-0.01</f>
        <v>24312.881809343624</v>
      </c>
      <c r="N53" s="612"/>
      <c r="O53" s="613"/>
      <c r="P53" s="611"/>
    </row>
    <row r="54" spans="1:16" ht="30" customHeight="1">
      <c r="A54" s="693" t="s">
        <v>224</v>
      </c>
      <c r="B54" s="693"/>
      <c r="C54" s="693"/>
      <c r="D54" s="693"/>
      <c r="E54" s="693"/>
      <c r="F54" s="693"/>
      <c r="G54" s="693"/>
      <c r="H54" s="693"/>
      <c r="I54" s="693"/>
      <c r="J54" s="693"/>
      <c r="K54" s="693"/>
      <c r="L54" s="693"/>
      <c r="M54" s="245"/>
      <c r="N54" s="112"/>
      <c r="O54" s="112"/>
      <c r="P54" s="112"/>
    </row>
    <row r="55" spans="1:16" ht="30" customHeight="1">
      <c r="A55" s="707" t="s">
        <v>245</v>
      </c>
      <c r="B55" s="707"/>
      <c r="C55" s="707"/>
      <c r="D55" s="707"/>
      <c r="E55" s="707"/>
      <c r="F55" s="707"/>
      <c r="G55" s="707"/>
      <c r="H55" s="707"/>
      <c r="I55" s="707"/>
      <c r="J55" s="707"/>
      <c r="K55" s="707"/>
      <c r="L55" s="707"/>
      <c r="M55" s="247"/>
      <c r="N55" s="112"/>
      <c r="O55" s="112"/>
      <c r="P55" s="112"/>
    </row>
    <row r="56" spans="1:16" ht="42.75" customHeight="1">
      <c r="A56" s="708" t="s">
        <v>188</v>
      </c>
      <c r="B56" s="708"/>
      <c r="C56" s="708"/>
      <c r="D56" s="708"/>
      <c r="E56" s="708"/>
      <c r="F56" s="708"/>
      <c r="G56" s="708"/>
      <c r="H56" s="708"/>
      <c r="I56" s="708"/>
      <c r="J56" s="708"/>
      <c r="K56" s="708"/>
      <c r="L56" s="708"/>
      <c r="M56" s="260"/>
      <c r="N56" s="112"/>
      <c r="O56" s="112"/>
      <c r="P56" s="112"/>
    </row>
    <row r="57" spans="1:16" ht="27.75" customHeight="1">
      <c r="A57" s="709" t="s">
        <v>98</v>
      </c>
      <c r="B57" s="709"/>
      <c r="C57" s="709"/>
      <c r="D57" s="709"/>
      <c r="E57" s="709"/>
      <c r="F57" s="709"/>
      <c r="G57" s="709"/>
      <c r="H57" s="709"/>
      <c r="I57" s="709"/>
      <c r="J57" s="709"/>
      <c r="K57" s="709"/>
      <c r="L57" s="709"/>
      <c r="M57" s="264"/>
      <c r="N57" s="112"/>
      <c r="O57" s="112"/>
      <c r="P57" s="112"/>
    </row>
    <row r="58" spans="1:16" ht="27.75" customHeight="1">
      <c r="A58" s="692" t="s">
        <v>126</v>
      </c>
      <c r="B58" s="692"/>
      <c r="C58" s="692"/>
      <c r="D58" s="692"/>
      <c r="E58" s="692"/>
      <c r="F58" s="692"/>
      <c r="G58" s="692"/>
      <c r="H58" s="692"/>
      <c r="I58" s="692"/>
      <c r="J58" s="692"/>
      <c r="K58" s="692"/>
      <c r="L58" s="692"/>
      <c r="M58" s="244"/>
      <c r="N58" s="112"/>
      <c r="O58" s="112"/>
      <c r="P58" s="112"/>
    </row>
    <row r="59" spans="1:16" ht="88.5" customHeight="1">
      <c r="A59" s="701" t="s">
        <v>77</v>
      </c>
      <c r="B59" s="701"/>
      <c r="C59" s="126" t="s">
        <v>78</v>
      </c>
      <c r="D59" s="705" t="s">
        <v>79</v>
      </c>
      <c r="E59" s="705"/>
      <c r="F59" s="164" t="s">
        <v>80</v>
      </c>
      <c r="G59" s="164" t="s">
        <v>81</v>
      </c>
      <c r="H59" s="164" t="s">
        <v>127</v>
      </c>
      <c r="I59" s="164" t="s">
        <v>83</v>
      </c>
      <c r="J59" s="164" t="s">
        <v>84</v>
      </c>
      <c r="K59" s="164" t="s">
        <v>85</v>
      </c>
      <c r="L59" s="165" t="s">
        <v>99</v>
      </c>
      <c r="M59" s="261"/>
      <c r="N59" s="614"/>
      <c r="O59" s="615"/>
      <c r="P59" s="615"/>
    </row>
    <row r="60" spans="1:16" ht="30.75">
      <c r="A60" s="701"/>
      <c r="B60" s="701"/>
      <c r="C60" s="128"/>
      <c r="D60" s="162" t="s">
        <v>86</v>
      </c>
      <c r="E60" s="162" t="s">
        <v>87</v>
      </c>
      <c r="F60" s="126" t="s">
        <v>4</v>
      </c>
      <c r="G60" s="126" t="s">
        <v>4</v>
      </c>
      <c r="H60" s="126" t="s">
        <v>4</v>
      </c>
      <c r="I60" s="128"/>
      <c r="J60" s="128"/>
      <c r="K60" s="126" t="s">
        <v>4</v>
      </c>
      <c r="L60" s="165"/>
      <c r="M60" s="261"/>
      <c r="N60" s="616"/>
      <c r="O60" s="1"/>
      <c r="P60" s="1"/>
    </row>
    <row r="61" spans="1:16" ht="18" customHeight="1">
      <c r="A61" s="701"/>
      <c r="B61" s="701"/>
      <c r="C61" s="126" t="s">
        <v>88</v>
      </c>
      <c r="D61" s="126" t="s">
        <v>89</v>
      </c>
      <c r="E61" s="123" t="s">
        <v>90</v>
      </c>
      <c r="F61" s="126" t="s">
        <v>91</v>
      </c>
      <c r="G61" s="126" t="s">
        <v>92</v>
      </c>
      <c r="H61" s="126" t="s">
        <v>93</v>
      </c>
      <c r="I61" s="126" t="s">
        <v>93</v>
      </c>
      <c r="J61" s="126" t="s">
        <v>94</v>
      </c>
      <c r="K61" s="126" t="s">
        <v>95</v>
      </c>
      <c r="L61" s="166" t="s">
        <v>100</v>
      </c>
      <c r="M61" s="262"/>
      <c r="N61" s="262"/>
      <c r="O61" s="1"/>
      <c r="P61" s="1"/>
    </row>
    <row r="62" spans="1:16" ht="24.75" customHeight="1">
      <c r="A62" s="701"/>
      <c r="B62" s="701"/>
      <c r="C62" s="136">
        <v>6000</v>
      </c>
      <c r="D62" s="136">
        <v>2000</v>
      </c>
      <c r="E62" s="136">
        <v>500</v>
      </c>
      <c r="F62" s="136">
        <v>250</v>
      </c>
      <c r="G62" s="136">
        <v>200</v>
      </c>
      <c r="H62" s="136">
        <v>100</v>
      </c>
      <c r="I62" s="136">
        <v>100</v>
      </c>
      <c r="J62" s="136">
        <v>50</v>
      </c>
      <c r="K62" s="136">
        <v>50</v>
      </c>
      <c r="L62" s="173">
        <f>SUM(C62:K62)</f>
        <v>9250</v>
      </c>
      <c r="M62" s="263"/>
      <c r="N62" s="263"/>
      <c r="O62" s="1"/>
      <c r="P62" s="1"/>
    </row>
    <row r="63" spans="1:16" ht="30.75">
      <c r="A63" s="160" t="s">
        <v>51</v>
      </c>
      <c r="B63" s="128">
        <v>1</v>
      </c>
      <c r="C63" s="126">
        <v>2</v>
      </c>
      <c r="D63" s="128">
        <v>3</v>
      </c>
      <c r="E63" s="126">
        <v>4</v>
      </c>
      <c r="F63" s="128">
        <v>5</v>
      </c>
      <c r="G63" s="126">
        <v>6</v>
      </c>
      <c r="H63" s="128">
        <v>7</v>
      </c>
      <c r="I63" s="126">
        <v>8</v>
      </c>
      <c r="J63" s="128">
        <v>9</v>
      </c>
      <c r="K63" s="126">
        <v>10</v>
      </c>
      <c r="L63" s="165" t="s">
        <v>101</v>
      </c>
      <c r="M63" s="261"/>
      <c r="N63" s="1"/>
      <c r="O63" s="1"/>
      <c r="P63" s="1"/>
    </row>
    <row r="64" spans="1:16" ht="30" customHeight="1">
      <c r="A64" s="137">
        <v>1</v>
      </c>
      <c r="B64" s="171" t="s">
        <v>2</v>
      </c>
      <c r="C64" s="159">
        <f aca="true" t="shared" si="11" ref="C64:C80">C8*$C$62/100</f>
        <v>510.9074146931538</v>
      </c>
      <c r="D64" s="159">
        <f aca="true" t="shared" si="12" ref="D64:D80">D8*$D$62/100</f>
        <v>0</v>
      </c>
      <c r="E64" s="159">
        <f aca="true" t="shared" si="13" ref="E64:E80">E8*$E$62/100</f>
        <v>31.703340554126697</v>
      </c>
      <c r="F64" s="159">
        <f aca="true" t="shared" si="14" ref="F64:F80">F8*$F$62/100</f>
        <v>15.148651899687042</v>
      </c>
      <c r="G64" s="159">
        <f aca="true" t="shared" si="15" ref="G64:G80">G8*$G$62/100</f>
        <v>5.760169472901352</v>
      </c>
      <c r="H64" s="159">
        <f aca="true" t="shared" si="16" ref="H64:H80">H8*$H$62/100</f>
        <v>6.236838551071077</v>
      </c>
      <c r="I64" s="159">
        <f aca="true" t="shared" si="17" ref="I64:I80">I8*$I$62/100</f>
        <v>7.158365369485413</v>
      </c>
      <c r="J64" s="159">
        <f aca="true" t="shared" si="18" ref="J64:J80">J8*$J$62/100</f>
        <v>4.857487422402443</v>
      </c>
      <c r="K64" s="159">
        <f aca="true" t="shared" si="19" ref="K64:K80">K8*$K$62/100</f>
        <v>1.899132611704658</v>
      </c>
      <c r="L64" s="163">
        <f aca="true" t="shared" si="20" ref="L64:L80">SUM(C64:K64)</f>
        <v>583.6714005745324</v>
      </c>
      <c r="M64" s="259"/>
      <c r="N64" s="617"/>
      <c r="O64" s="617"/>
      <c r="P64" s="617"/>
    </row>
    <row r="65" spans="1:16" ht="30" customHeight="1">
      <c r="A65" s="137">
        <v>2</v>
      </c>
      <c r="B65" s="171" t="s">
        <v>96</v>
      </c>
      <c r="C65" s="159">
        <f t="shared" si="11"/>
        <v>494.73566768645367</v>
      </c>
      <c r="D65" s="159">
        <f t="shared" si="12"/>
        <v>424.3667938759469</v>
      </c>
      <c r="E65" s="159">
        <f t="shared" si="13"/>
        <v>86.08857936063946</v>
      </c>
      <c r="F65" s="159">
        <f t="shared" si="14"/>
        <v>9.943655269094542</v>
      </c>
      <c r="G65" s="159">
        <f t="shared" si="15"/>
        <v>7.605997683696632</v>
      </c>
      <c r="H65" s="159">
        <f t="shared" si="16"/>
        <v>4.700905300350548</v>
      </c>
      <c r="I65" s="159">
        <f t="shared" si="17"/>
        <v>2.320334163295459</v>
      </c>
      <c r="J65" s="159">
        <f t="shared" si="18"/>
        <v>3.151405204531209</v>
      </c>
      <c r="K65" s="159">
        <f t="shared" si="19"/>
        <v>0</v>
      </c>
      <c r="L65" s="163">
        <f t="shared" si="20"/>
        <v>1032.9133385440082</v>
      </c>
      <c r="M65" s="259"/>
      <c r="N65" s="617"/>
      <c r="O65" s="617"/>
      <c r="P65" s="617"/>
    </row>
    <row r="66" spans="1:16" ht="30" customHeight="1">
      <c r="A66" s="137">
        <v>3</v>
      </c>
      <c r="B66" s="171" t="s">
        <v>138</v>
      </c>
      <c r="C66" s="159">
        <f t="shared" si="11"/>
        <v>136.6788610486386</v>
      </c>
      <c r="D66" s="159">
        <f t="shared" si="12"/>
        <v>73.51815109493671</v>
      </c>
      <c r="E66" s="159">
        <f t="shared" si="13"/>
        <v>14.91415746076044</v>
      </c>
      <c r="F66" s="159">
        <f t="shared" si="14"/>
        <v>14.751646149317187</v>
      </c>
      <c r="G66" s="159">
        <f t="shared" si="15"/>
        <v>15.080104646727593</v>
      </c>
      <c r="H66" s="159">
        <f t="shared" si="16"/>
        <v>8.004673391541505</v>
      </c>
      <c r="I66" s="159">
        <f t="shared" si="17"/>
        <v>2.374767573219995</v>
      </c>
      <c r="J66" s="159">
        <f t="shared" si="18"/>
        <v>2.071436575672326</v>
      </c>
      <c r="K66" s="159">
        <f t="shared" si="19"/>
        <v>0.9208109365884722</v>
      </c>
      <c r="L66" s="163">
        <f t="shared" si="20"/>
        <v>268.3146088774028</v>
      </c>
      <c r="M66" s="259"/>
      <c r="N66" s="617"/>
      <c r="O66" s="617"/>
      <c r="P66" s="617"/>
    </row>
    <row r="67" spans="1:16" ht="30" customHeight="1">
      <c r="A67" s="137">
        <v>4</v>
      </c>
      <c r="B67" s="171" t="s">
        <v>5</v>
      </c>
      <c r="C67" s="159">
        <f t="shared" si="11"/>
        <v>9.336629535458641</v>
      </c>
      <c r="D67" s="159">
        <f t="shared" si="12"/>
        <v>0</v>
      </c>
      <c r="E67" s="159">
        <f t="shared" si="13"/>
        <v>0.0634874173279187</v>
      </c>
      <c r="F67" s="159">
        <f t="shared" si="14"/>
        <v>15.871433063743291</v>
      </c>
      <c r="G67" s="159">
        <f t="shared" si="15"/>
        <v>2.168182103834332</v>
      </c>
      <c r="H67" s="159">
        <f t="shared" si="16"/>
        <v>4.787071841871917</v>
      </c>
      <c r="I67" s="159">
        <f t="shared" si="17"/>
        <v>9.659483702248615</v>
      </c>
      <c r="J67" s="159">
        <f t="shared" si="18"/>
        <v>0</v>
      </c>
      <c r="K67" s="159">
        <f t="shared" si="19"/>
        <v>0</v>
      </c>
      <c r="L67" s="163">
        <f t="shared" si="20"/>
        <v>41.88628766448472</v>
      </c>
      <c r="M67" s="259"/>
      <c r="N67" s="617"/>
      <c r="O67" s="617"/>
      <c r="P67" s="617"/>
    </row>
    <row r="68" spans="1:16" ht="30" customHeight="1">
      <c r="A68" s="137">
        <v>5</v>
      </c>
      <c r="B68" s="171" t="s">
        <v>6</v>
      </c>
      <c r="C68" s="159">
        <f t="shared" si="11"/>
        <v>313.5345895699866</v>
      </c>
      <c r="D68" s="159">
        <f t="shared" si="12"/>
        <v>0</v>
      </c>
      <c r="E68" s="159">
        <f t="shared" si="13"/>
        <v>10.91158336035224</v>
      </c>
      <c r="F68" s="159">
        <f t="shared" si="14"/>
        <v>15.169745176971723</v>
      </c>
      <c r="G68" s="159">
        <f t="shared" si="15"/>
        <v>9.158477951950191</v>
      </c>
      <c r="H68" s="159">
        <f t="shared" si="16"/>
        <v>4.290721096574772</v>
      </c>
      <c r="I68" s="159">
        <f t="shared" si="17"/>
        <v>5.785166765132079</v>
      </c>
      <c r="J68" s="159">
        <f t="shared" si="18"/>
        <v>2.3637125655011744</v>
      </c>
      <c r="K68" s="159">
        <f t="shared" si="19"/>
        <v>5.8234426048248285</v>
      </c>
      <c r="L68" s="163">
        <f t="shared" si="20"/>
        <v>367.0374390912937</v>
      </c>
      <c r="M68" s="259"/>
      <c r="N68" s="617"/>
      <c r="O68" s="617"/>
      <c r="P68" s="617"/>
    </row>
    <row r="69" spans="1:16" ht="30" customHeight="1">
      <c r="A69" s="137">
        <v>6</v>
      </c>
      <c r="B69" s="171" t="s">
        <v>7</v>
      </c>
      <c r="C69" s="159">
        <f t="shared" si="11"/>
        <v>117.87641590867723</v>
      </c>
      <c r="D69" s="159">
        <f t="shared" si="12"/>
        <v>0</v>
      </c>
      <c r="E69" s="159">
        <f t="shared" si="13"/>
        <v>1.2423411977522973</v>
      </c>
      <c r="F69" s="159">
        <f t="shared" si="14"/>
        <v>18.355757764623462</v>
      </c>
      <c r="G69" s="159">
        <f t="shared" si="15"/>
        <v>6.410660331799262</v>
      </c>
      <c r="H69" s="159">
        <f t="shared" si="16"/>
        <v>5.430077624884673</v>
      </c>
      <c r="I69" s="159">
        <f t="shared" si="17"/>
        <v>5.442959509168521</v>
      </c>
      <c r="J69" s="159">
        <f t="shared" si="18"/>
        <v>2.615357721426923</v>
      </c>
      <c r="K69" s="159">
        <f t="shared" si="19"/>
        <v>3.269847221691783</v>
      </c>
      <c r="L69" s="163">
        <f t="shared" si="20"/>
        <v>160.64341728002412</v>
      </c>
      <c r="M69" s="259"/>
      <c r="N69" s="617"/>
      <c r="O69" s="617"/>
      <c r="P69" s="617"/>
    </row>
    <row r="70" spans="1:16" ht="30" customHeight="1">
      <c r="A70" s="137">
        <v>7</v>
      </c>
      <c r="B70" s="171" t="s">
        <v>139</v>
      </c>
      <c r="C70" s="159">
        <f t="shared" si="11"/>
        <v>167.08456402637748</v>
      </c>
      <c r="D70" s="159">
        <f t="shared" si="12"/>
        <v>97.94329158770512</v>
      </c>
      <c r="E70" s="159">
        <f t="shared" si="13"/>
        <v>19.86912961233067</v>
      </c>
      <c r="F70" s="159">
        <f t="shared" si="14"/>
        <v>10.639427078383996</v>
      </c>
      <c r="G70" s="159">
        <f t="shared" si="15"/>
        <v>7.065300615081969</v>
      </c>
      <c r="H70" s="159">
        <f t="shared" si="16"/>
        <v>6.665334188665853</v>
      </c>
      <c r="I70" s="159">
        <f t="shared" si="17"/>
        <v>4.137012288366216</v>
      </c>
      <c r="J70" s="159">
        <f t="shared" si="18"/>
        <v>1.4488654346909409</v>
      </c>
      <c r="K70" s="159">
        <f t="shared" si="19"/>
        <v>0.36596072816809927</v>
      </c>
      <c r="L70" s="163">
        <f t="shared" si="20"/>
        <v>315.21888555977034</v>
      </c>
      <c r="M70" s="259"/>
      <c r="N70" s="617"/>
      <c r="O70" s="617"/>
      <c r="P70" s="617"/>
    </row>
    <row r="71" spans="1:16" ht="30" customHeight="1">
      <c r="A71" s="137">
        <v>8</v>
      </c>
      <c r="B71" s="171" t="s">
        <v>8</v>
      </c>
      <c r="C71" s="159">
        <f t="shared" si="11"/>
        <v>344.0929669929594</v>
      </c>
      <c r="D71" s="159">
        <f t="shared" si="12"/>
        <v>0</v>
      </c>
      <c r="E71" s="159">
        <f t="shared" si="13"/>
        <v>20.009162932130604</v>
      </c>
      <c r="F71" s="159">
        <f t="shared" si="14"/>
        <v>19.482108491761256</v>
      </c>
      <c r="G71" s="159">
        <f t="shared" si="15"/>
        <v>6.992009835839387</v>
      </c>
      <c r="H71" s="159">
        <f t="shared" si="16"/>
        <v>4.865224640952191</v>
      </c>
      <c r="I71" s="159">
        <f t="shared" si="17"/>
        <v>7.289933929862222</v>
      </c>
      <c r="J71" s="159">
        <f t="shared" si="18"/>
        <v>1.8610746676987027</v>
      </c>
      <c r="K71" s="159">
        <f t="shared" si="19"/>
        <v>4.969273968583409</v>
      </c>
      <c r="L71" s="163">
        <f t="shared" si="20"/>
        <v>409.5617554597872</v>
      </c>
      <c r="M71" s="259"/>
      <c r="N71" s="617"/>
      <c r="O71" s="617"/>
      <c r="P71" s="617"/>
    </row>
    <row r="72" spans="1:16" ht="30" customHeight="1">
      <c r="A72" s="137">
        <v>9</v>
      </c>
      <c r="B72" s="171" t="s">
        <v>9</v>
      </c>
      <c r="C72" s="159">
        <f t="shared" si="11"/>
        <v>250.70318326218316</v>
      </c>
      <c r="D72" s="159">
        <f t="shared" si="12"/>
        <v>0</v>
      </c>
      <c r="E72" s="159">
        <f t="shared" si="13"/>
        <v>6.721728986113946</v>
      </c>
      <c r="F72" s="159">
        <f t="shared" si="14"/>
        <v>17.10891425248478</v>
      </c>
      <c r="G72" s="159">
        <f t="shared" si="15"/>
        <v>4.513150245864004</v>
      </c>
      <c r="H72" s="159">
        <f t="shared" si="16"/>
        <v>4.740389202309421</v>
      </c>
      <c r="I72" s="159">
        <f t="shared" si="17"/>
        <v>9.659483702248615</v>
      </c>
      <c r="J72" s="159">
        <f t="shared" si="18"/>
        <v>1.3916499917044043</v>
      </c>
      <c r="K72" s="159">
        <f t="shared" si="19"/>
        <v>3.115695682068393</v>
      </c>
      <c r="L72" s="163">
        <f t="shared" si="20"/>
        <v>297.95419532497675</v>
      </c>
      <c r="M72" s="259"/>
      <c r="N72" s="617"/>
      <c r="O72" s="617"/>
      <c r="P72" s="617"/>
    </row>
    <row r="73" spans="1:16" ht="30" customHeight="1">
      <c r="A73" s="137">
        <v>10</v>
      </c>
      <c r="B73" s="171" t="s">
        <v>10</v>
      </c>
      <c r="C73" s="159">
        <f t="shared" si="11"/>
        <v>352.5135498570146</v>
      </c>
      <c r="D73" s="159">
        <f t="shared" si="12"/>
        <v>210.36109087596122</v>
      </c>
      <c r="E73" s="159">
        <f t="shared" si="13"/>
        <v>42.674610095812056</v>
      </c>
      <c r="F73" s="159">
        <f t="shared" si="14"/>
        <v>14.372182679486839</v>
      </c>
      <c r="G73" s="159">
        <f t="shared" si="15"/>
        <v>10.09782302914958</v>
      </c>
      <c r="H73" s="159">
        <f t="shared" si="16"/>
        <v>7.56483828178058</v>
      </c>
      <c r="I73" s="159">
        <f t="shared" si="17"/>
        <v>1.5315677959538039</v>
      </c>
      <c r="J73" s="159">
        <f t="shared" si="18"/>
        <v>2.0382256154789653</v>
      </c>
      <c r="K73" s="159">
        <f t="shared" si="19"/>
        <v>4.9354014835891995</v>
      </c>
      <c r="L73" s="163">
        <f t="shared" si="20"/>
        <v>646.089289714227</v>
      </c>
      <c r="M73" s="259"/>
      <c r="N73" s="617"/>
      <c r="O73" s="617"/>
      <c r="P73" s="617"/>
    </row>
    <row r="74" spans="1:16" ht="30" customHeight="1">
      <c r="A74" s="137">
        <v>11</v>
      </c>
      <c r="B74" s="171" t="s">
        <v>11</v>
      </c>
      <c r="C74" s="159">
        <f t="shared" si="11"/>
        <v>592.0480102409322</v>
      </c>
      <c r="D74" s="159">
        <f t="shared" si="12"/>
        <v>0</v>
      </c>
      <c r="E74" s="159">
        <f t="shared" si="13"/>
        <v>4.02582098406923</v>
      </c>
      <c r="F74" s="159">
        <f t="shared" si="14"/>
        <v>16.1689750140538</v>
      </c>
      <c r="G74" s="159">
        <f t="shared" si="15"/>
        <v>3.0131878297791683</v>
      </c>
      <c r="H74" s="159">
        <f t="shared" si="16"/>
        <v>5.391002045161661</v>
      </c>
      <c r="I74" s="159">
        <f t="shared" si="17"/>
        <v>9.659483702248615</v>
      </c>
      <c r="J74" s="159">
        <f t="shared" si="18"/>
        <v>5.290479505629744</v>
      </c>
      <c r="K74" s="159">
        <f t="shared" si="19"/>
        <v>6.1222909607934355</v>
      </c>
      <c r="L74" s="163">
        <f t="shared" si="20"/>
        <v>641.7192502826679</v>
      </c>
      <c r="M74" s="259"/>
      <c r="N74" s="617"/>
      <c r="O74" s="617"/>
      <c r="P74" s="617"/>
    </row>
    <row r="75" spans="1:16" ht="30" customHeight="1">
      <c r="A75" s="137">
        <v>12</v>
      </c>
      <c r="B75" s="171" t="s">
        <v>97</v>
      </c>
      <c r="C75" s="159">
        <f t="shared" si="11"/>
        <v>257.72620774294325</v>
      </c>
      <c r="D75" s="159">
        <f t="shared" si="12"/>
        <v>152.9216253257584</v>
      </c>
      <c r="E75" s="159">
        <f t="shared" si="13"/>
        <v>31.022232813208593</v>
      </c>
      <c r="F75" s="159">
        <f t="shared" si="14"/>
        <v>11.938777449984066</v>
      </c>
      <c r="G75" s="159">
        <f t="shared" si="15"/>
        <v>97.52090958875156</v>
      </c>
      <c r="H75" s="159">
        <f t="shared" si="16"/>
        <v>5.680167898259811</v>
      </c>
      <c r="I75" s="159">
        <f t="shared" si="17"/>
        <v>4.2069890355295465</v>
      </c>
      <c r="J75" s="159">
        <f t="shared" si="18"/>
        <v>2.6897714705167513</v>
      </c>
      <c r="K75" s="159">
        <f t="shared" si="19"/>
        <v>0.6500619236616612</v>
      </c>
      <c r="L75" s="163">
        <f t="shared" si="20"/>
        <v>564.3567432486136</v>
      </c>
      <c r="M75" s="259"/>
      <c r="N75" s="617"/>
      <c r="O75" s="617"/>
      <c r="P75" s="618"/>
    </row>
    <row r="76" spans="1:16" ht="30" customHeight="1">
      <c r="A76" s="137">
        <v>13</v>
      </c>
      <c r="B76" s="171" t="s">
        <v>13</v>
      </c>
      <c r="C76" s="159">
        <f t="shared" si="11"/>
        <v>159.1454928742139</v>
      </c>
      <c r="D76" s="159">
        <f t="shared" si="12"/>
        <v>0</v>
      </c>
      <c r="E76" s="159">
        <f t="shared" si="13"/>
        <v>1.0821609964913539</v>
      </c>
      <c r="F76" s="159">
        <f t="shared" si="14"/>
        <v>15.002941741055684</v>
      </c>
      <c r="G76" s="159">
        <f t="shared" si="15"/>
        <v>0.30461436444907686</v>
      </c>
      <c r="H76" s="159">
        <f t="shared" si="16"/>
        <v>5.037185866344505</v>
      </c>
      <c r="I76" s="159">
        <f t="shared" si="17"/>
        <v>8.60561953363035</v>
      </c>
      <c r="J76" s="159">
        <f t="shared" si="18"/>
        <v>2.0614618745411137</v>
      </c>
      <c r="K76" s="159">
        <f t="shared" si="19"/>
        <v>1.3911550540273787</v>
      </c>
      <c r="L76" s="163">
        <f t="shared" si="20"/>
        <v>192.63063230475333</v>
      </c>
      <c r="M76" s="259"/>
      <c r="N76" s="617"/>
      <c r="O76" s="617"/>
      <c r="P76" s="617"/>
    </row>
    <row r="77" spans="1:16" ht="30" customHeight="1">
      <c r="A77" s="137">
        <v>14</v>
      </c>
      <c r="B77" s="171" t="s">
        <v>14</v>
      </c>
      <c r="C77" s="159">
        <f t="shared" si="11"/>
        <v>302.60075045361936</v>
      </c>
      <c r="D77" s="159">
        <f t="shared" si="12"/>
        <v>165.66538455435642</v>
      </c>
      <c r="E77" s="159">
        <f t="shared" si="13"/>
        <v>33.60747780300567</v>
      </c>
      <c r="F77" s="159">
        <f t="shared" si="14"/>
        <v>14.768420633961512</v>
      </c>
      <c r="G77" s="159">
        <f t="shared" si="15"/>
        <v>6.785363995442157</v>
      </c>
      <c r="H77" s="159">
        <f t="shared" si="16"/>
        <v>9.88545170080078</v>
      </c>
      <c r="I77" s="159">
        <f t="shared" si="17"/>
        <v>1.8478483367935261</v>
      </c>
      <c r="J77" s="159">
        <f t="shared" si="18"/>
        <v>4.2237171837413054</v>
      </c>
      <c r="K77" s="159">
        <f t="shared" si="19"/>
        <v>4.1220108566242235</v>
      </c>
      <c r="L77" s="163">
        <f t="shared" si="20"/>
        <v>543.5064255183449</v>
      </c>
      <c r="M77" s="259"/>
      <c r="N77" s="617"/>
      <c r="O77" s="617"/>
      <c r="P77" s="617"/>
    </row>
    <row r="78" spans="1:16" ht="30" customHeight="1">
      <c r="A78" s="137">
        <v>15</v>
      </c>
      <c r="B78" s="171" t="s">
        <v>15</v>
      </c>
      <c r="C78" s="159">
        <f t="shared" si="11"/>
        <v>483.84880532246615</v>
      </c>
      <c r="D78" s="159">
        <f t="shared" si="12"/>
        <v>0</v>
      </c>
      <c r="E78" s="159">
        <f t="shared" si="13"/>
        <v>18.513155499972278</v>
      </c>
      <c r="F78" s="159">
        <f t="shared" si="14"/>
        <v>18.894506482188287</v>
      </c>
      <c r="G78" s="159">
        <f t="shared" si="15"/>
        <v>4.222927334122733</v>
      </c>
      <c r="H78" s="159">
        <f t="shared" si="16"/>
        <v>5.082431705040026</v>
      </c>
      <c r="I78" s="159">
        <f t="shared" si="17"/>
        <v>9.659483702248615</v>
      </c>
      <c r="J78" s="159">
        <f t="shared" si="18"/>
        <v>3.010683783288585</v>
      </c>
      <c r="K78" s="159">
        <f t="shared" si="19"/>
        <v>5.044945938072775</v>
      </c>
      <c r="L78" s="163">
        <f t="shared" si="20"/>
        <v>548.2769397673995</v>
      </c>
      <c r="M78" s="259"/>
      <c r="N78" s="617"/>
      <c r="O78" s="617"/>
      <c r="P78" s="617"/>
    </row>
    <row r="79" spans="1:16" ht="30" customHeight="1">
      <c r="A79" s="137">
        <v>16</v>
      </c>
      <c r="B79" s="171" t="s">
        <v>16</v>
      </c>
      <c r="C79" s="159">
        <f t="shared" si="11"/>
        <v>986.7584279229819</v>
      </c>
      <c r="D79" s="159">
        <f t="shared" si="12"/>
        <v>664.2459250393123</v>
      </c>
      <c r="E79" s="159">
        <f t="shared" si="13"/>
        <v>134.7513256408194</v>
      </c>
      <c r="F79" s="159">
        <f t="shared" si="14"/>
        <v>12.48078318759557</v>
      </c>
      <c r="G79" s="159">
        <f t="shared" si="15"/>
        <v>13.00964137993859</v>
      </c>
      <c r="H79" s="159">
        <f t="shared" si="16"/>
        <v>6.643358236923769</v>
      </c>
      <c r="I79" s="159">
        <f t="shared" si="17"/>
        <v>1.0033328739235672</v>
      </c>
      <c r="J79" s="159">
        <f t="shared" si="18"/>
        <v>2.998642743934972</v>
      </c>
      <c r="K79" s="159">
        <f t="shared" si="19"/>
        <v>2.9319237465152757</v>
      </c>
      <c r="L79" s="163">
        <f t="shared" si="20"/>
        <v>1824.8233607719453</v>
      </c>
      <c r="M79" s="259"/>
      <c r="N79" s="617"/>
      <c r="O79" s="617"/>
      <c r="P79" s="617"/>
    </row>
    <row r="80" spans="1:16" ht="30" customHeight="1">
      <c r="A80" s="137">
        <v>17</v>
      </c>
      <c r="B80" s="171" t="s">
        <v>17</v>
      </c>
      <c r="C80" s="159">
        <f t="shared" si="11"/>
        <v>520.4084628619413</v>
      </c>
      <c r="D80" s="159">
        <f t="shared" si="12"/>
        <v>210.97773764602306</v>
      </c>
      <c r="E80" s="159">
        <f t="shared" si="13"/>
        <v>42.79970528508709</v>
      </c>
      <c r="F80" s="159">
        <f t="shared" si="14"/>
        <v>9.902073665606974</v>
      </c>
      <c r="G80" s="159">
        <f t="shared" si="15"/>
        <v>0.2980469775607379</v>
      </c>
      <c r="H80" s="159">
        <f t="shared" si="16"/>
        <v>4.994328427466895</v>
      </c>
      <c r="I80" s="159">
        <f t="shared" si="17"/>
        <v>9.658168016644849</v>
      </c>
      <c r="J80" s="159">
        <f t="shared" si="18"/>
        <v>7.926028239240441</v>
      </c>
      <c r="K80" s="159">
        <f t="shared" si="19"/>
        <v>4.4380462830864085</v>
      </c>
      <c r="L80" s="163">
        <f t="shared" si="20"/>
        <v>811.4025974026576</v>
      </c>
      <c r="M80" s="259"/>
      <c r="N80" s="617"/>
      <c r="O80" s="617"/>
      <c r="P80" s="619"/>
    </row>
    <row r="81" spans="1:16" ht="39" customHeight="1">
      <c r="A81" s="137"/>
      <c r="B81" s="172" t="s">
        <v>28</v>
      </c>
      <c r="C81" s="163">
        <f aca="true" t="shared" si="21" ref="C81:K81">SUM(C64:C80)</f>
        <v>6000</v>
      </c>
      <c r="D81" s="163">
        <f t="shared" si="21"/>
        <v>2000.0000000000002</v>
      </c>
      <c r="E81" s="163">
        <f t="shared" si="21"/>
        <v>500.00000000000006</v>
      </c>
      <c r="F81" s="163">
        <f t="shared" si="21"/>
        <v>249.99999999999994</v>
      </c>
      <c r="G81" s="163">
        <f t="shared" si="21"/>
        <v>200.00656738688835</v>
      </c>
      <c r="H81" s="163">
        <f t="shared" si="21"/>
        <v>100</v>
      </c>
      <c r="I81" s="163">
        <f t="shared" si="21"/>
        <v>100</v>
      </c>
      <c r="J81" s="163">
        <f t="shared" si="21"/>
        <v>50</v>
      </c>
      <c r="K81" s="163">
        <f t="shared" si="21"/>
        <v>49.99999999999999</v>
      </c>
      <c r="L81" s="163">
        <f>SUM(C81:K81)-0.01</f>
        <v>9249.996567386888</v>
      </c>
      <c r="M81" s="259"/>
      <c r="N81" s="620"/>
      <c r="O81" s="617"/>
      <c r="P81" s="620"/>
    </row>
    <row r="82" spans="1:4" ht="49.5" customHeight="1">
      <c r="A82" s="265" t="s">
        <v>121</v>
      </c>
      <c r="B82" s="266" t="s">
        <v>175</v>
      </c>
      <c r="C82" s="267">
        <f>C96*1.1</f>
        <v>37548.841</v>
      </c>
      <c r="D82" s="571">
        <f>D86+D83</f>
        <v>18023.44368</v>
      </c>
    </row>
    <row r="83" spans="1:5" ht="33.75" customHeight="1">
      <c r="A83" s="265" t="s">
        <v>122</v>
      </c>
      <c r="B83" s="268" t="s">
        <v>182</v>
      </c>
      <c r="C83" s="272">
        <f>C82*0.7</f>
        <v>26284.1887</v>
      </c>
      <c r="D83" s="571">
        <f>C83*0.3</f>
        <v>7885.2566099999995</v>
      </c>
      <c r="E83" s="183">
        <f>D83+D86</f>
        <v>18023.44368</v>
      </c>
    </row>
    <row r="84" spans="1:4" ht="32.25" customHeight="1">
      <c r="A84" s="269"/>
      <c r="B84" s="270">
        <v>0.925</v>
      </c>
      <c r="C84" s="272">
        <f>C83*92.5/100</f>
        <v>24312.8745475</v>
      </c>
      <c r="D84" s="571">
        <f>C84*0.3</f>
        <v>7293.86236425</v>
      </c>
    </row>
    <row r="85" spans="1:4" ht="33.75" customHeight="1">
      <c r="A85" s="269"/>
      <c r="B85" s="270">
        <v>0.075</v>
      </c>
      <c r="C85" s="272">
        <f>C83*7.5/100</f>
        <v>1971.3141524999999</v>
      </c>
      <c r="D85" s="571">
        <f>C85*0.3</f>
        <v>591.39424575</v>
      </c>
    </row>
    <row r="86" spans="1:4" ht="34.5" customHeight="1">
      <c r="A86" s="271" t="s">
        <v>124</v>
      </c>
      <c r="B86" s="268" t="s">
        <v>183</v>
      </c>
      <c r="C86" s="272">
        <f>C82*0.3</f>
        <v>11264.6523</v>
      </c>
      <c r="D86" s="571">
        <f>C86*0.9</f>
        <v>10138.18707</v>
      </c>
    </row>
    <row r="87" spans="3:4" ht="12">
      <c r="C87">
        <v>597.69</v>
      </c>
      <c r="D87" s="571">
        <f>C87*0.9</f>
        <v>537.921</v>
      </c>
    </row>
    <row r="88" spans="3:4" ht="12">
      <c r="C88">
        <v>10666.97</v>
      </c>
      <c r="D88" s="571">
        <f>C88*0.9</f>
        <v>9600.273</v>
      </c>
    </row>
    <row r="89" ht="12">
      <c r="D89" s="571"/>
    </row>
    <row r="93" spans="1:3" ht="15.75">
      <c r="A93" s="354"/>
      <c r="B93" s="354"/>
      <c r="C93" s="354"/>
    </row>
    <row r="94" spans="1:3" ht="15.75">
      <c r="A94" s="354"/>
      <c r="B94" s="354"/>
      <c r="C94" s="354"/>
    </row>
    <row r="95" spans="1:3" ht="15.75">
      <c r="A95" s="354"/>
      <c r="B95" s="354"/>
      <c r="C95" s="354"/>
    </row>
    <row r="96" spans="1:3" ht="15.75">
      <c r="A96" s="353" t="s">
        <v>121</v>
      </c>
      <c r="B96" s="353" t="s">
        <v>175</v>
      </c>
      <c r="C96" s="355">
        <v>34135.31</v>
      </c>
    </row>
    <row r="97" spans="1:3" ht="15.75">
      <c r="A97" s="353" t="s">
        <v>122</v>
      </c>
      <c r="B97" s="353" t="s">
        <v>182</v>
      </c>
      <c r="C97" s="355">
        <v>23894.716999999997</v>
      </c>
    </row>
    <row r="98" spans="1:3" ht="15.75">
      <c r="A98" s="353"/>
      <c r="B98" s="353">
        <v>0.925</v>
      </c>
      <c r="C98" s="355">
        <v>22102.613224999997</v>
      </c>
    </row>
    <row r="99" spans="1:3" ht="15.75">
      <c r="A99" s="353"/>
      <c r="B99" s="353">
        <v>0.075</v>
      </c>
      <c r="C99" s="355">
        <v>1792.1037749999998</v>
      </c>
    </row>
    <row r="100" spans="1:3" ht="15.75">
      <c r="A100" s="353" t="s">
        <v>124</v>
      </c>
      <c r="B100" s="353" t="s">
        <v>183</v>
      </c>
      <c r="C100" s="355">
        <v>10240.592999999999</v>
      </c>
    </row>
    <row r="101" spans="1:3" ht="15.75">
      <c r="A101" s="354"/>
      <c r="B101" s="354"/>
      <c r="C101" s="354"/>
    </row>
  </sheetData>
  <mergeCells count="24">
    <mergeCell ref="A59:B62"/>
    <mergeCell ref="D59:E59"/>
    <mergeCell ref="A29:L29"/>
    <mergeCell ref="A28:L28"/>
    <mergeCell ref="A56:L56"/>
    <mergeCell ref="A31:B34"/>
    <mergeCell ref="D31:E31"/>
    <mergeCell ref="A54:L54"/>
    <mergeCell ref="A55:L55"/>
    <mergeCell ref="A57:L57"/>
    <mergeCell ref="N34:O34"/>
    <mergeCell ref="A58:L58"/>
    <mergeCell ref="A1:K1"/>
    <mergeCell ref="A3:K3"/>
    <mergeCell ref="L31:L32"/>
    <mergeCell ref="A27:L27"/>
    <mergeCell ref="A30:L30"/>
    <mergeCell ref="D4:E4"/>
    <mergeCell ref="A4:B6"/>
    <mergeCell ref="A2:K2"/>
    <mergeCell ref="N30:O30"/>
    <mergeCell ref="N31:N32"/>
    <mergeCell ref="O31:O32"/>
    <mergeCell ref="P31:P32"/>
  </mergeCells>
  <printOptions gridLines="1" horizontalCentered="1"/>
  <pageMargins left="1.01" right="1.39" top="1" bottom="0.51" header="0.46" footer="0.51"/>
  <pageSetup horizontalDpi="180" verticalDpi="180" orientation="landscape" paperSize="9" scale="59" r:id="rId1"/>
  <rowBreaks count="2" manualBreakCount="2">
    <brk id="25" max="11" man="1"/>
    <brk id="53" max="11" man="1"/>
  </rowBreaks>
</worksheet>
</file>

<file path=xl/worksheets/sheet11.xml><?xml version="1.0" encoding="utf-8"?>
<worksheet xmlns="http://schemas.openxmlformats.org/spreadsheetml/2006/main" xmlns:r="http://schemas.openxmlformats.org/officeDocument/2006/relationships">
  <sheetPr codeName="Sheet23"/>
  <dimension ref="A1:Q47"/>
  <sheetViews>
    <sheetView zoomScale="75" zoomScaleNormal="75" zoomScaleSheetLayoutView="75" workbookViewId="0" topLeftCell="A1">
      <selection activeCell="A3" sqref="A3:P3"/>
    </sheetView>
  </sheetViews>
  <sheetFormatPr defaultColWidth="9.00390625" defaultRowHeight="12.75"/>
  <cols>
    <col min="1" max="1" width="7.375" style="103" customWidth="1"/>
    <col min="2" max="2" width="34.375" style="107" customWidth="1"/>
    <col min="3" max="3" width="18.00390625" style="103" hidden="1" customWidth="1"/>
    <col min="4" max="4" width="23.125" style="103" hidden="1" customWidth="1"/>
    <col min="5" max="5" width="19.25390625" style="103" hidden="1" customWidth="1"/>
    <col min="6" max="6" width="2.125" style="103" hidden="1" customWidth="1"/>
    <col min="7" max="7" width="15.00390625" style="103" hidden="1" customWidth="1"/>
    <col min="8" max="8" width="0.2421875" style="103" hidden="1" customWidth="1"/>
    <col min="9" max="9" width="14.50390625" style="103" hidden="1" customWidth="1"/>
    <col min="10" max="10" width="0.12890625" style="103" hidden="1" customWidth="1"/>
    <col min="11" max="12" width="0" style="103" hidden="1" customWidth="1"/>
    <col min="13" max="13" width="19.625" style="103" customWidth="1"/>
    <col min="14" max="14" width="19.75390625" style="103" customWidth="1"/>
    <col min="15" max="16" width="19.625" style="103" customWidth="1"/>
    <col min="17" max="17" width="12.00390625" style="103" bestFit="1" customWidth="1"/>
    <col min="18" max="16384" width="9.00390625" style="103" customWidth="1"/>
  </cols>
  <sheetData>
    <row r="1" spans="1:16" ht="30.75" customHeight="1">
      <c r="A1" s="15"/>
      <c r="B1" s="442"/>
      <c r="C1" s="15"/>
      <c r="D1" s="15"/>
      <c r="E1" s="15"/>
      <c r="F1" s="15"/>
      <c r="G1" s="15"/>
      <c r="H1" s="15"/>
      <c r="I1" s="15"/>
      <c r="J1" s="185"/>
      <c r="K1" s="15"/>
      <c r="L1" s="15"/>
      <c r="M1" s="15"/>
      <c r="N1" s="15"/>
      <c r="O1" s="185"/>
      <c r="P1" s="508" t="s">
        <v>277</v>
      </c>
    </row>
    <row r="2" spans="1:17" ht="32.25" customHeight="1">
      <c r="A2" s="15"/>
      <c r="B2" s="442"/>
      <c r="C2" s="15"/>
      <c r="D2" s="15"/>
      <c r="E2" s="15"/>
      <c r="F2" s="15"/>
      <c r="G2" s="14"/>
      <c r="H2" s="14"/>
      <c r="I2" s="14"/>
      <c r="J2" s="185"/>
      <c r="K2" s="15"/>
      <c r="L2" s="15"/>
      <c r="M2" s="15"/>
      <c r="N2" s="15"/>
      <c r="O2" s="185"/>
      <c r="P2" s="185" t="s">
        <v>299</v>
      </c>
      <c r="Q2" s="601"/>
    </row>
    <row r="3" spans="1:16" s="105" customFormat="1" ht="56.25" customHeight="1">
      <c r="A3" s="710" t="s">
        <v>298</v>
      </c>
      <c r="B3" s="710"/>
      <c r="C3" s="710"/>
      <c r="D3" s="710"/>
      <c r="E3" s="710"/>
      <c r="F3" s="710"/>
      <c r="G3" s="710"/>
      <c r="H3" s="710"/>
      <c r="I3" s="710"/>
      <c r="J3" s="710"/>
      <c r="K3" s="710"/>
      <c r="L3" s="710"/>
      <c r="M3" s="710"/>
      <c r="N3" s="710"/>
      <c r="O3" s="710"/>
      <c r="P3" s="710"/>
    </row>
    <row r="4" spans="1:15" s="105" customFormat="1" ht="24.75" customHeight="1" thickBot="1">
      <c r="A4" s="718"/>
      <c r="B4" s="718"/>
      <c r="C4" s="718"/>
      <c r="D4" s="718"/>
      <c r="E4" s="718"/>
      <c r="F4" s="718"/>
      <c r="G4" s="718"/>
      <c r="H4" s="443"/>
      <c r="I4" s="443"/>
      <c r="K4" s="15"/>
      <c r="L4" s="15"/>
      <c r="M4" s="15"/>
      <c r="N4" s="15"/>
      <c r="O4" s="254" t="s">
        <v>126</v>
      </c>
    </row>
    <row r="5" spans="1:16" s="106" customFormat="1" ht="65.25" customHeight="1">
      <c r="A5" s="719" t="s">
        <v>77</v>
      </c>
      <c r="B5" s="720"/>
      <c r="C5" s="509" t="s">
        <v>276</v>
      </c>
      <c r="D5" s="510" t="s">
        <v>221</v>
      </c>
      <c r="E5" s="509" t="s">
        <v>278</v>
      </c>
      <c r="F5" s="510"/>
      <c r="G5" s="510"/>
      <c r="H5" s="723" t="s">
        <v>221</v>
      </c>
      <c r="I5" s="716" t="s">
        <v>284</v>
      </c>
      <c r="J5" s="716" t="s">
        <v>246</v>
      </c>
      <c r="K5" s="510"/>
      <c r="L5" s="510"/>
      <c r="M5" s="509" t="s">
        <v>288</v>
      </c>
      <c r="N5" s="509" t="s">
        <v>278</v>
      </c>
      <c r="O5" s="716" t="s">
        <v>284</v>
      </c>
      <c r="P5" s="724" t="s">
        <v>246</v>
      </c>
    </row>
    <row r="6" spans="1:16" s="106" customFormat="1" ht="50.25" customHeight="1">
      <c r="A6" s="721"/>
      <c r="B6" s="722"/>
      <c r="C6" s="714" t="s">
        <v>274</v>
      </c>
      <c r="D6" s="714"/>
      <c r="E6" s="714"/>
      <c r="F6" s="511" t="s">
        <v>120</v>
      </c>
      <c r="G6" s="511" t="s">
        <v>271</v>
      </c>
      <c r="H6" s="713"/>
      <c r="I6" s="717"/>
      <c r="J6" s="717"/>
      <c r="K6" s="511"/>
      <c r="L6" s="511"/>
      <c r="M6" s="713" t="s">
        <v>272</v>
      </c>
      <c r="N6" s="713"/>
      <c r="O6" s="717"/>
      <c r="P6" s="725"/>
    </row>
    <row r="7" spans="1:16" s="105" customFormat="1" ht="25.5" customHeight="1">
      <c r="A7" s="512" t="s">
        <v>51</v>
      </c>
      <c r="B7" s="513">
        <v>1</v>
      </c>
      <c r="C7" s="513">
        <v>2</v>
      </c>
      <c r="D7" s="513"/>
      <c r="E7" s="513">
        <v>3</v>
      </c>
      <c r="F7" s="513">
        <v>4</v>
      </c>
      <c r="G7" s="513">
        <v>4</v>
      </c>
      <c r="H7" s="513"/>
      <c r="I7" s="513">
        <v>4</v>
      </c>
      <c r="J7" s="513">
        <v>5</v>
      </c>
      <c r="K7" s="514"/>
      <c r="L7" s="514"/>
      <c r="M7" s="515">
        <v>2</v>
      </c>
      <c r="N7" s="515">
        <v>3</v>
      </c>
      <c r="O7" s="515">
        <v>4</v>
      </c>
      <c r="P7" s="516">
        <v>5</v>
      </c>
    </row>
    <row r="8" spans="1:17" ht="25.5" customHeight="1">
      <c r="A8" s="517" t="s">
        <v>121</v>
      </c>
      <c r="B8" s="511" t="s">
        <v>173</v>
      </c>
      <c r="C8" s="518"/>
      <c r="D8" s="518"/>
      <c r="E8" s="518"/>
      <c r="F8" s="518"/>
      <c r="G8" s="518"/>
      <c r="H8" s="518"/>
      <c r="I8" s="518"/>
      <c r="J8" s="518"/>
      <c r="K8" s="514"/>
      <c r="L8" s="514"/>
      <c r="M8" s="519"/>
      <c r="N8" s="519"/>
      <c r="O8" s="519"/>
      <c r="P8" s="622"/>
      <c r="Q8" s="621"/>
    </row>
    <row r="9" spans="1:16" ht="24" customHeight="1">
      <c r="A9" s="520">
        <v>1</v>
      </c>
      <c r="B9" s="521" t="s">
        <v>150</v>
      </c>
      <c r="C9" s="522">
        <v>768.8649276</v>
      </c>
      <c r="D9" s="522">
        <f aca="true" t="shared" si="0" ref="D9:D22">C9/$C$22*100</f>
        <v>7.508011768459112</v>
      </c>
      <c r="E9" s="523">
        <f aca="true" t="shared" si="1" ref="E9:E21">D9*E$22/100</f>
        <v>845.75142036</v>
      </c>
      <c r="F9" s="522"/>
      <c r="G9" s="523">
        <f aca="true" t="shared" si="2" ref="G9:G22">E9</f>
        <v>845.75142036</v>
      </c>
      <c r="H9" s="522">
        <f aca="true" t="shared" si="3" ref="H9:H22">G9/$G$22*100</f>
        <v>7.508011768459112</v>
      </c>
      <c r="I9" s="523">
        <f aca="true" t="shared" si="4" ref="I9:I44">E9-C9</f>
        <v>76.88649276000001</v>
      </c>
      <c r="J9" s="524">
        <f aca="true" t="shared" si="5" ref="J9:J22">I9/C9*100</f>
        <v>10.000000000000002</v>
      </c>
      <c r="K9" s="514"/>
      <c r="L9" s="525" t="e">
        <f>#REF!*13.261/100</f>
        <v>#REF!</v>
      </c>
      <c r="M9" s="526">
        <v>691.97843484</v>
      </c>
      <c r="N9" s="527">
        <v>761.176278324</v>
      </c>
      <c r="O9" s="528">
        <f aca="true" t="shared" si="6" ref="O9:O22">N9-M9</f>
        <v>69.19784348400003</v>
      </c>
      <c r="P9" s="529">
        <f aca="true" t="shared" si="7" ref="P9:P22">O9/M9*100</f>
        <v>10.000000000000005</v>
      </c>
    </row>
    <row r="10" spans="1:16" ht="24" customHeight="1">
      <c r="A10" s="520">
        <v>2</v>
      </c>
      <c r="B10" s="521" t="s">
        <v>128</v>
      </c>
      <c r="C10" s="522">
        <v>1894.3255187999998</v>
      </c>
      <c r="D10" s="522">
        <f t="shared" si="0"/>
        <v>18.498201410797208</v>
      </c>
      <c r="E10" s="523">
        <f t="shared" si="1"/>
        <v>2083.75807068</v>
      </c>
      <c r="F10" s="522"/>
      <c r="G10" s="523">
        <f t="shared" si="2"/>
        <v>2083.75807068</v>
      </c>
      <c r="H10" s="522">
        <f t="shared" si="3"/>
        <v>18.498201410797208</v>
      </c>
      <c r="I10" s="523">
        <f t="shared" si="4"/>
        <v>189.43255188000012</v>
      </c>
      <c r="J10" s="524">
        <f t="shared" si="5"/>
        <v>10.000000000000007</v>
      </c>
      <c r="K10" s="514"/>
      <c r="L10" s="525" t="e">
        <f>#REF!*13.261/100</f>
        <v>#REF!</v>
      </c>
      <c r="M10" s="526">
        <v>1704.89296692</v>
      </c>
      <c r="N10" s="527">
        <v>1875.382263612</v>
      </c>
      <c r="O10" s="528">
        <f t="shared" si="6"/>
        <v>170.48929669200015</v>
      </c>
      <c r="P10" s="529">
        <f t="shared" si="7"/>
        <v>10.000000000000009</v>
      </c>
    </row>
    <row r="11" spans="1:16" ht="24" customHeight="1">
      <c r="A11" s="520">
        <v>3</v>
      </c>
      <c r="B11" s="521" t="s">
        <v>129</v>
      </c>
      <c r="C11" s="522">
        <v>936.6332184</v>
      </c>
      <c r="D11" s="522">
        <f t="shared" si="0"/>
        <v>9.146279110985079</v>
      </c>
      <c r="E11" s="523">
        <f t="shared" si="1"/>
        <v>1030.2965402400002</v>
      </c>
      <c r="F11" s="522"/>
      <c r="G11" s="523">
        <f t="shared" si="2"/>
        <v>1030.2965402400002</v>
      </c>
      <c r="H11" s="522">
        <f t="shared" si="3"/>
        <v>9.14627911098508</v>
      </c>
      <c r="I11" s="523">
        <f t="shared" si="4"/>
        <v>93.66332184000021</v>
      </c>
      <c r="J11" s="524">
        <f t="shared" si="5"/>
        <v>10.000000000000021</v>
      </c>
      <c r="K11" s="514"/>
      <c r="L11" s="525" t="e">
        <f>#REF!*13.261/100</f>
        <v>#REF!</v>
      </c>
      <c r="M11" s="526">
        <v>842.96989656</v>
      </c>
      <c r="N11" s="527">
        <v>927.2668862160002</v>
      </c>
      <c r="O11" s="528">
        <f t="shared" si="6"/>
        <v>84.29698965600016</v>
      </c>
      <c r="P11" s="529">
        <f t="shared" si="7"/>
        <v>10.000000000000018</v>
      </c>
    </row>
    <row r="12" spans="1:16" ht="24" customHeight="1">
      <c r="A12" s="520">
        <v>4</v>
      </c>
      <c r="B12" s="521" t="s">
        <v>130</v>
      </c>
      <c r="C12" s="522">
        <v>1855.7291808</v>
      </c>
      <c r="D12" s="522">
        <f t="shared" si="0"/>
        <v>18.121305873595407</v>
      </c>
      <c r="E12" s="523">
        <f t="shared" si="1"/>
        <v>2041.3020988800001</v>
      </c>
      <c r="F12" s="522"/>
      <c r="G12" s="523">
        <f t="shared" si="2"/>
        <v>2041.3020988800001</v>
      </c>
      <c r="H12" s="522">
        <f t="shared" si="3"/>
        <v>18.121305873595407</v>
      </c>
      <c r="I12" s="523">
        <f t="shared" si="4"/>
        <v>185.57291808000014</v>
      </c>
      <c r="J12" s="524">
        <f t="shared" si="5"/>
        <v>10.000000000000007</v>
      </c>
      <c r="K12" s="514"/>
      <c r="L12" s="525" t="e">
        <f>#REF!*13.261/100</f>
        <v>#REF!</v>
      </c>
      <c r="M12" s="526">
        <v>1670.15626272</v>
      </c>
      <c r="N12" s="527">
        <v>1837.171888992</v>
      </c>
      <c r="O12" s="528">
        <f t="shared" si="6"/>
        <v>167.01562627199996</v>
      </c>
      <c r="P12" s="529">
        <f t="shared" si="7"/>
        <v>9.999999999999998</v>
      </c>
    </row>
    <row r="13" spans="1:16" ht="24" customHeight="1">
      <c r="A13" s="520">
        <v>5</v>
      </c>
      <c r="B13" s="521" t="s">
        <v>131</v>
      </c>
      <c r="C13" s="522">
        <v>566.2808712</v>
      </c>
      <c r="D13" s="522">
        <f t="shared" si="0"/>
        <v>5.529766403176066</v>
      </c>
      <c r="E13" s="523">
        <f t="shared" si="1"/>
        <v>622.90895832</v>
      </c>
      <c r="F13" s="522"/>
      <c r="G13" s="523">
        <f t="shared" si="2"/>
        <v>622.90895832</v>
      </c>
      <c r="H13" s="522">
        <f t="shared" si="3"/>
        <v>5.529766403176066</v>
      </c>
      <c r="I13" s="523">
        <f t="shared" si="4"/>
        <v>56.62808712000003</v>
      </c>
      <c r="J13" s="524">
        <f t="shared" si="5"/>
        <v>10.000000000000005</v>
      </c>
      <c r="K13" s="514"/>
      <c r="L13" s="525" t="e">
        <f>#REF!*13.261/100</f>
        <v>#REF!</v>
      </c>
      <c r="M13" s="526">
        <v>509.65278408</v>
      </c>
      <c r="N13" s="527">
        <v>560.6180624880001</v>
      </c>
      <c r="O13" s="528">
        <f t="shared" si="6"/>
        <v>50.965278408000074</v>
      </c>
      <c r="P13" s="529">
        <f t="shared" si="7"/>
        <v>10.000000000000014</v>
      </c>
    </row>
    <row r="14" spans="1:16" ht="24" customHeight="1">
      <c r="A14" s="520">
        <v>6</v>
      </c>
      <c r="B14" s="521" t="s">
        <v>132</v>
      </c>
      <c r="C14" s="522">
        <v>470.4728291999999</v>
      </c>
      <c r="D14" s="522">
        <f t="shared" si="0"/>
        <v>4.594195172095991</v>
      </c>
      <c r="E14" s="523">
        <f t="shared" si="1"/>
        <v>517.52011212</v>
      </c>
      <c r="F14" s="522"/>
      <c r="G14" s="523">
        <f t="shared" si="2"/>
        <v>517.52011212</v>
      </c>
      <c r="H14" s="522">
        <f t="shared" si="3"/>
        <v>4.594195172095991</v>
      </c>
      <c r="I14" s="523">
        <f t="shared" si="4"/>
        <v>47.0472829200001</v>
      </c>
      <c r="J14" s="524">
        <f t="shared" si="5"/>
        <v>10.000000000000023</v>
      </c>
      <c r="K14" s="514"/>
      <c r="L14" s="525" t="e">
        <f>#REF!*13.261/100</f>
        <v>#REF!</v>
      </c>
      <c r="M14" s="526">
        <v>423.42554627999993</v>
      </c>
      <c r="N14" s="527">
        <v>465.768100908</v>
      </c>
      <c r="O14" s="528">
        <f t="shared" si="6"/>
        <v>42.34255462800007</v>
      </c>
      <c r="P14" s="529">
        <f t="shared" si="7"/>
        <v>10.000000000000018</v>
      </c>
    </row>
    <row r="15" spans="1:16" ht="24" customHeight="1">
      <c r="A15" s="520">
        <v>7</v>
      </c>
      <c r="B15" s="521" t="s">
        <v>133</v>
      </c>
      <c r="C15" s="522">
        <v>542.07252</v>
      </c>
      <c r="D15" s="522">
        <f t="shared" si="0"/>
        <v>5.293370413217283</v>
      </c>
      <c r="E15" s="523">
        <f t="shared" si="1"/>
        <v>596.2797720000002</v>
      </c>
      <c r="F15" s="522"/>
      <c r="G15" s="523">
        <f t="shared" si="2"/>
        <v>596.2797720000002</v>
      </c>
      <c r="H15" s="522">
        <f t="shared" si="3"/>
        <v>5.293370413217283</v>
      </c>
      <c r="I15" s="523">
        <f t="shared" si="4"/>
        <v>54.20725200000015</v>
      </c>
      <c r="J15" s="524">
        <f t="shared" si="5"/>
        <v>10.000000000000027</v>
      </c>
      <c r="K15" s="514"/>
      <c r="L15" s="525" t="e">
        <f>#REF!*13.261/100</f>
        <v>#REF!</v>
      </c>
      <c r="M15" s="526">
        <v>487.86526800000007</v>
      </c>
      <c r="N15" s="527">
        <v>536.6517948000002</v>
      </c>
      <c r="O15" s="528">
        <f t="shared" si="6"/>
        <v>48.786526800000104</v>
      </c>
      <c r="P15" s="529">
        <f t="shared" si="7"/>
        <v>10.00000000000002</v>
      </c>
    </row>
    <row r="16" spans="1:16" ht="24" customHeight="1">
      <c r="A16" s="520">
        <v>8</v>
      </c>
      <c r="B16" s="521" t="s">
        <v>134</v>
      </c>
      <c r="C16" s="522">
        <v>573.1505999999999</v>
      </c>
      <c r="D16" s="522">
        <f t="shared" si="0"/>
        <v>5.596849713683573</v>
      </c>
      <c r="E16" s="523">
        <f t="shared" si="1"/>
        <v>630.4656600000001</v>
      </c>
      <c r="F16" s="522"/>
      <c r="G16" s="523">
        <f t="shared" si="2"/>
        <v>630.4656600000001</v>
      </c>
      <c r="H16" s="522">
        <f t="shared" si="3"/>
        <v>5.596849713683573</v>
      </c>
      <c r="I16" s="523">
        <f t="shared" si="4"/>
        <v>57.31506000000013</v>
      </c>
      <c r="J16" s="524">
        <f t="shared" si="5"/>
        <v>10.000000000000025</v>
      </c>
      <c r="K16" s="514"/>
      <c r="L16" s="525" t="e">
        <f>#REF!*13.261/100</f>
        <v>#REF!</v>
      </c>
      <c r="M16" s="526">
        <v>515.8355399999999</v>
      </c>
      <c r="N16" s="527">
        <v>567.4190940000001</v>
      </c>
      <c r="O16" s="528">
        <f t="shared" si="6"/>
        <v>51.58355400000016</v>
      </c>
      <c r="P16" s="529">
        <f t="shared" si="7"/>
        <v>10.000000000000032</v>
      </c>
    </row>
    <row r="17" spans="1:16" ht="24" customHeight="1">
      <c r="A17" s="520">
        <v>9</v>
      </c>
      <c r="B17" s="521" t="s">
        <v>135</v>
      </c>
      <c r="C17" s="522">
        <v>365.57991360000005</v>
      </c>
      <c r="D17" s="522">
        <f t="shared" si="0"/>
        <v>3.5699096097267033</v>
      </c>
      <c r="E17" s="523">
        <f t="shared" si="1"/>
        <v>402.13790496000007</v>
      </c>
      <c r="F17" s="522"/>
      <c r="G17" s="523">
        <f t="shared" si="2"/>
        <v>402.13790496000007</v>
      </c>
      <c r="H17" s="522">
        <f t="shared" si="3"/>
        <v>3.569909609726703</v>
      </c>
      <c r="I17" s="523">
        <f t="shared" si="4"/>
        <v>36.55799136000002</v>
      </c>
      <c r="J17" s="524">
        <f t="shared" si="5"/>
        <v>10.000000000000004</v>
      </c>
      <c r="K17" s="514"/>
      <c r="L17" s="525" t="e">
        <f>#REF!*13.261/100</f>
        <v>#REF!</v>
      </c>
      <c r="M17" s="526">
        <v>329.02192224000004</v>
      </c>
      <c r="N17" s="527">
        <v>361.92411446400007</v>
      </c>
      <c r="O17" s="528">
        <f t="shared" si="6"/>
        <v>32.90219222400003</v>
      </c>
      <c r="P17" s="529">
        <f t="shared" si="7"/>
        <v>10.000000000000009</v>
      </c>
    </row>
    <row r="18" spans="1:16" ht="24" customHeight="1">
      <c r="A18" s="520">
        <v>10</v>
      </c>
      <c r="B18" s="521" t="s">
        <v>136</v>
      </c>
      <c r="C18" s="522">
        <v>799.4408399999999</v>
      </c>
      <c r="D18" s="522">
        <f t="shared" si="0"/>
        <v>7.806587372430483</v>
      </c>
      <c r="E18" s="523">
        <f t="shared" si="1"/>
        <v>879.3849240000001</v>
      </c>
      <c r="F18" s="522"/>
      <c r="G18" s="523">
        <f t="shared" si="2"/>
        <v>879.3849240000001</v>
      </c>
      <c r="H18" s="522">
        <f t="shared" si="3"/>
        <v>7.806587372430485</v>
      </c>
      <c r="I18" s="523">
        <f t="shared" si="4"/>
        <v>79.9440840000002</v>
      </c>
      <c r="J18" s="524">
        <f t="shared" si="5"/>
        <v>10.000000000000027</v>
      </c>
      <c r="K18" s="514"/>
      <c r="L18" s="525" t="e">
        <f>#REF!*13.261/100</f>
        <v>#REF!</v>
      </c>
      <c r="M18" s="526">
        <v>719.4967559999999</v>
      </c>
      <c r="N18" s="527">
        <v>791.4464316000001</v>
      </c>
      <c r="O18" s="528">
        <f t="shared" si="6"/>
        <v>71.9496756000002</v>
      </c>
      <c r="P18" s="529">
        <f t="shared" si="7"/>
        <v>10.00000000000003</v>
      </c>
    </row>
    <row r="19" spans="1:16" ht="24" customHeight="1">
      <c r="A19" s="520">
        <v>11</v>
      </c>
      <c r="B19" s="530" t="s">
        <v>140</v>
      </c>
      <c r="C19" s="522">
        <v>924.6916799999999</v>
      </c>
      <c r="D19" s="522">
        <f t="shared" si="0"/>
        <v>9.029669277941228</v>
      </c>
      <c r="E19" s="523">
        <f t="shared" si="1"/>
        <v>1017.1608479999999</v>
      </c>
      <c r="F19" s="522"/>
      <c r="G19" s="523">
        <f t="shared" si="2"/>
        <v>1017.1608479999999</v>
      </c>
      <c r="H19" s="522">
        <f t="shared" si="3"/>
        <v>9.029669277941228</v>
      </c>
      <c r="I19" s="523">
        <f t="shared" si="4"/>
        <v>92.46916799999997</v>
      </c>
      <c r="J19" s="524">
        <f t="shared" si="5"/>
        <v>9.999999999999998</v>
      </c>
      <c r="K19" s="514"/>
      <c r="L19" s="525" t="e">
        <f>#REF!*13.261/100</f>
        <v>#REF!</v>
      </c>
      <c r="M19" s="526">
        <v>832.2225119999999</v>
      </c>
      <c r="N19" s="527">
        <v>915.4447631999999</v>
      </c>
      <c r="O19" s="528">
        <f t="shared" si="6"/>
        <v>83.22225119999996</v>
      </c>
      <c r="P19" s="529">
        <f t="shared" si="7"/>
        <v>9.999999999999996</v>
      </c>
    </row>
    <row r="20" spans="1:16" ht="30" customHeight="1">
      <c r="A20" s="520"/>
      <c r="B20" s="511" t="s">
        <v>181</v>
      </c>
      <c r="C20" s="531">
        <v>9697.2420996</v>
      </c>
      <c r="D20" s="531">
        <f t="shared" si="0"/>
        <v>94.69414612610814</v>
      </c>
      <c r="E20" s="532">
        <f t="shared" si="1"/>
        <v>10666.966309560003</v>
      </c>
      <c r="F20" s="531"/>
      <c r="G20" s="532">
        <f t="shared" si="2"/>
        <v>10666.966309560003</v>
      </c>
      <c r="H20" s="531">
        <f t="shared" si="3"/>
        <v>94.69414612610815</v>
      </c>
      <c r="I20" s="532">
        <f t="shared" si="4"/>
        <v>969.7242099600026</v>
      </c>
      <c r="J20" s="533">
        <f t="shared" si="5"/>
        <v>10.000000000000027</v>
      </c>
      <c r="K20" s="534"/>
      <c r="L20" s="535"/>
      <c r="M20" s="526">
        <v>8727.517889640001</v>
      </c>
      <c r="N20" s="527">
        <v>9600.270678604003</v>
      </c>
      <c r="O20" s="528">
        <f t="shared" si="6"/>
        <v>872.7527889640023</v>
      </c>
      <c r="P20" s="529">
        <f t="shared" si="7"/>
        <v>10.000011458011485</v>
      </c>
    </row>
    <row r="21" spans="1:16" ht="29.25" customHeight="1">
      <c r="A21" s="520"/>
      <c r="B21" s="511" t="s">
        <v>222</v>
      </c>
      <c r="C21" s="531">
        <v>543.3509003999994</v>
      </c>
      <c r="D21" s="531">
        <f t="shared" si="0"/>
        <v>5.305853873891868</v>
      </c>
      <c r="E21" s="532">
        <f t="shared" si="1"/>
        <v>597.6859904399994</v>
      </c>
      <c r="F21" s="531"/>
      <c r="G21" s="532">
        <f t="shared" si="2"/>
        <v>597.6859904399994</v>
      </c>
      <c r="H21" s="531">
        <f t="shared" si="3"/>
        <v>5.305853873891868</v>
      </c>
      <c r="I21" s="532">
        <f t="shared" si="4"/>
        <v>54.335090039999955</v>
      </c>
      <c r="J21" s="533">
        <f t="shared" si="5"/>
        <v>10.000000000000002</v>
      </c>
      <c r="K21" s="534"/>
      <c r="L21" s="535"/>
      <c r="M21" s="526">
        <v>489.0158103599995</v>
      </c>
      <c r="N21" s="527">
        <v>537.9173913959995</v>
      </c>
      <c r="O21" s="528">
        <f t="shared" si="6"/>
        <v>48.90158103600004</v>
      </c>
      <c r="P21" s="529">
        <f t="shared" si="7"/>
        <v>10.000000000000018</v>
      </c>
    </row>
    <row r="22" spans="1:16" ht="30" customHeight="1">
      <c r="A22" s="536"/>
      <c r="B22" s="537" t="s">
        <v>171</v>
      </c>
      <c r="C22" s="531">
        <v>10240.592999999999</v>
      </c>
      <c r="D22" s="531">
        <f t="shared" si="0"/>
        <v>100</v>
      </c>
      <c r="E22" s="531">
        <f>E44*0.3</f>
        <v>11264.6523</v>
      </c>
      <c r="F22" s="531">
        <v>9309.63</v>
      </c>
      <c r="G22" s="532">
        <f t="shared" si="2"/>
        <v>11264.6523</v>
      </c>
      <c r="H22" s="531">
        <f t="shared" si="3"/>
        <v>100</v>
      </c>
      <c r="I22" s="532">
        <f t="shared" si="4"/>
        <v>1024.0593000000008</v>
      </c>
      <c r="J22" s="533">
        <f t="shared" si="5"/>
        <v>10.000000000000009</v>
      </c>
      <c r="K22" s="534"/>
      <c r="L22" s="534"/>
      <c r="M22" s="538">
        <v>9216.5337</v>
      </c>
      <c r="N22" s="527">
        <v>10138.18707</v>
      </c>
      <c r="O22" s="528">
        <f t="shared" si="6"/>
        <v>921.65337</v>
      </c>
      <c r="P22" s="529">
        <f t="shared" si="7"/>
        <v>10</v>
      </c>
    </row>
    <row r="23" spans="1:16" ht="30" customHeight="1">
      <c r="A23" s="539" t="s">
        <v>122</v>
      </c>
      <c r="B23" s="540" t="s">
        <v>174</v>
      </c>
      <c r="C23" s="522"/>
      <c r="D23" s="522"/>
      <c r="E23" s="522"/>
      <c r="F23" s="522"/>
      <c r="G23" s="523"/>
      <c r="H23" s="523"/>
      <c r="I23" s="523">
        <f t="shared" si="4"/>
        <v>0</v>
      </c>
      <c r="J23" s="523"/>
      <c r="K23" s="514"/>
      <c r="L23" s="514"/>
      <c r="M23" s="538"/>
      <c r="N23" s="538"/>
      <c r="O23" s="528"/>
      <c r="P23" s="529"/>
    </row>
    <row r="24" spans="1:16" ht="24" customHeight="1">
      <c r="A24" s="536">
        <v>12</v>
      </c>
      <c r="B24" s="541" t="s">
        <v>2</v>
      </c>
      <c r="C24" s="522">
        <v>1402.342616075642</v>
      </c>
      <c r="D24" s="522">
        <f aca="true" t="shared" si="8" ref="D24:D43">C24/$C$43*100</f>
        <v>5.868839610344169</v>
      </c>
      <c r="E24" s="522">
        <f>'Dist-exercise'!L36</f>
        <v>1534.13292314943</v>
      </c>
      <c r="F24" s="523">
        <f aca="true" t="shared" si="9" ref="F24:F40">E24-C24</f>
        <v>131.7903070737882</v>
      </c>
      <c r="G24" s="531">
        <v>1534.13292314943</v>
      </c>
      <c r="H24" s="542">
        <f aca="true" t="shared" si="10" ref="H24:H43">G24/$G$43*100</f>
        <v>5.836714005745325</v>
      </c>
      <c r="I24" s="523">
        <f t="shared" si="4"/>
        <v>131.7903070737882</v>
      </c>
      <c r="J24" s="524">
        <f aca="true" t="shared" si="11" ref="J24:J44">I24/C24*100</f>
        <v>9.397867936338852</v>
      </c>
      <c r="K24" s="514"/>
      <c r="L24" s="514"/>
      <c r="M24" s="538">
        <v>420.70278482269254</v>
      </c>
      <c r="N24" s="527">
        <v>460.239876944829</v>
      </c>
      <c r="O24" s="528">
        <f aca="true" t="shared" si="12" ref="O24:O44">N24-M24</f>
        <v>39.53709212213647</v>
      </c>
      <c r="P24" s="529">
        <f aca="true" t="shared" si="13" ref="P24:P44">O24/M24*100</f>
        <v>9.397867936338855</v>
      </c>
    </row>
    <row r="25" spans="1:16" ht="24" customHeight="1">
      <c r="A25" s="536">
        <v>13</v>
      </c>
      <c r="B25" s="541" t="s">
        <v>96</v>
      </c>
      <c r="C25" s="522">
        <v>2445.347900006363</v>
      </c>
      <c r="D25" s="522">
        <f t="shared" si="8"/>
        <v>10.233843321962604</v>
      </c>
      <c r="E25" s="522">
        <f>'Dist-exercise'!L37</f>
        <v>2714.9289101037693</v>
      </c>
      <c r="F25" s="523">
        <f t="shared" si="9"/>
        <v>269.5810100974063</v>
      </c>
      <c r="G25" s="531">
        <v>2714.9289101037693</v>
      </c>
      <c r="H25" s="522">
        <f t="shared" si="10"/>
        <v>10.32913338544008</v>
      </c>
      <c r="I25" s="523">
        <f t="shared" si="4"/>
        <v>269.5810100974063</v>
      </c>
      <c r="J25" s="524">
        <f t="shared" si="11"/>
        <v>11.024239540586631</v>
      </c>
      <c r="K25" s="514"/>
      <c r="L25" s="514"/>
      <c r="M25" s="538">
        <v>733.6043700019089</v>
      </c>
      <c r="N25" s="527">
        <v>814.4786730311308</v>
      </c>
      <c r="O25" s="528">
        <f t="shared" si="12"/>
        <v>80.87430302922189</v>
      </c>
      <c r="P25" s="529">
        <f t="shared" si="13"/>
        <v>11.024239540586631</v>
      </c>
    </row>
    <row r="26" spans="1:16" ht="24" customHeight="1">
      <c r="A26" s="536">
        <v>14</v>
      </c>
      <c r="B26" s="541" t="s">
        <v>138</v>
      </c>
      <c r="C26" s="522">
        <v>635.9007434871434</v>
      </c>
      <c r="D26" s="522">
        <f t="shared" si="8"/>
        <v>2.661260828019614</v>
      </c>
      <c r="E26" s="522">
        <f>'Dist-exercise'!L38</f>
        <v>705.243181070035</v>
      </c>
      <c r="F26" s="523">
        <f t="shared" si="9"/>
        <v>69.34243758289165</v>
      </c>
      <c r="G26" s="531">
        <v>705.243181070035</v>
      </c>
      <c r="H26" s="522">
        <f t="shared" si="10"/>
        <v>2.6831460887740275</v>
      </c>
      <c r="I26" s="523">
        <f t="shared" si="4"/>
        <v>69.34243758289165</v>
      </c>
      <c r="J26" s="524">
        <f t="shared" si="11"/>
        <v>10.90460080336321</v>
      </c>
      <c r="K26" s="514"/>
      <c r="L26" s="514"/>
      <c r="M26" s="538">
        <v>190.770223046143</v>
      </c>
      <c r="N26" s="527">
        <v>211.57295432101049</v>
      </c>
      <c r="O26" s="528">
        <f t="shared" si="12"/>
        <v>20.802731274867483</v>
      </c>
      <c r="P26" s="529">
        <f t="shared" si="13"/>
        <v>10.904600803363202</v>
      </c>
    </row>
    <row r="27" spans="1:16" ht="24" customHeight="1">
      <c r="A27" s="536">
        <v>15</v>
      </c>
      <c r="B27" s="543" t="s">
        <v>279</v>
      </c>
      <c r="C27" s="522">
        <v>109.38248651052064</v>
      </c>
      <c r="D27" s="522">
        <f t="shared" si="8"/>
        <v>0.4577684954817446</v>
      </c>
      <c r="E27" s="522">
        <f>'Dist-exercise'!L39</f>
        <v>110.09470889157984</v>
      </c>
      <c r="F27" s="523">
        <f t="shared" si="9"/>
        <v>0.7122223810592061</v>
      </c>
      <c r="G27" s="531">
        <v>110.09470889157984</v>
      </c>
      <c r="H27" s="522">
        <f t="shared" si="10"/>
        <v>0.41886287664484706</v>
      </c>
      <c r="I27" s="523">
        <f t="shared" si="4"/>
        <v>0.7122223810592061</v>
      </c>
      <c r="J27" s="524">
        <f t="shared" si="11"/>
        <v>0.6511301797758118</v>
      </c>
      <c r="K27" s="514"/>
      <c r="L27" s="514"/>
      <c r="M27" s="538">
        <v>32.81474595315619</v>
      </c>
      <c r="N27" s="527">
        <v>33.02841266747395</v>
      </c>
      <c r="O27" s="528">
        <f t="shared" si="12"/>
        <v>0.2136667143177604</v>
      </c>
      <c r="P27" s="529">
        <f t="shared" si="13"/>
        <v>0.6511301797758074</v>
      </c>
    </row>
    <row r="28" spans="1:16" ht="24" customHeight="1">
      <c r="A28" s="536">
        <v>16</v>
      </c>
      <c r="B28" s="541" t="s">
        <v>6</v>
      </c>
      <c r="C28" s="522">
        <v>867.9045827276559</v>
      </c>
      <c r="D28" s="522">
        <f t="shared" si="8"/>
        <v>3.632202811724684</v>
      </c>
      <c r="E28" s="522">
        <f>'Dist-exercise'!L40</f>
        <v>964.7281309040318</v>
      </c>
      <c r="F28" s="523">
        <f t="shared" si="9"/>
        <v>96.82354817637588</v>
      </c>
      <c r="G28" s="531">
        <v>964.7281309040318</v>
      </c>
      <c r="H28" s="522">
        <f t="shared" si="10"/>
        <v>3.670374390912936</v>
      </c>
      <c r="I28" s="523">
        <f t="shared" si="4"/>
        <v>96.82354817637588</v>
      </c>
      <c r="J28" s="524">
        <f t="shared" si="11"/>
        <v>11.15601301148546</v>
      </c>
      <c r="K28" s="514"/>
      <c r="L28" s="514"/>
      <c r="M28" s="538">
        <v>260.3713748182968</v>
      </c>
      <c r="N28" s="527">
        <v>289.41843927120954</v>
      </c>
      <c r="O28" s="528">
        <f t="shared" si="12"/>
        <v>29.047064452912764</v>
      </c>
      <c r="P28" s="529">
        <f t="shared" si="13"/>
        <v>11.15601301148546</v>
      </c>
    </row>
    <row r="29" spans="1:16" ht="24" customHeight="1">
      <c r="A29" s="536">
        <v>17</v>
      </c>
      <c r="B29" s="541" t="s">
        <v>7</v>
      </c>
      <c r="C29" s="522">
        <v>390.7717541464978</v>
      </c>
      <c r="D29" s="522">
        <f t="shared" si="8"/>
        <v>1.6353897564323439</v>
      </c>
      <c r="E29" s="522">
        <f>'Dist-exercise'!L41</f>
        <v>422.2381893200995</v>
      </c>
      <c r="F29" s="523">
        <f t="shared" si="9"/>
        <v>31.466435173601667</v>
      </c>
      <c r="G29" s="531">
        <v>422.2381893200995</v>
      </c>
      <c r="H29" s="522">
        <f t="shared" si="10"/>
        <v>1.6064341728002411</v>
      </c>
      <c r="I29" s="523">
        <f t="shared" si="4"/>
        <v>31.466435173601667</v>
      </c>
      <c r="J29" s="524">
        <f t="shared" si="11"/>
        <v>8.052382200020809</v>
      </c>
      <c r="K29" s="514"/>
      <c r="L29" s="514"/>
      <c r="M29" s="538">
        <v>117.23152624394933</v>
      </c>
      <c r="N29" s="527">
        <v>126.67145679602984</v>
      </c>
      <c r="O29" s="528">
        <f t="shared" si="12"/>
        <v>9.439930552080511</v>
      </c>
      <c r="P29" s="529">
        <f t="shared" si="13"/>
        <v>8.05238220002082</v>
      </c>
    </row>
    <row r="30" spans="1:16" ht="24" customHeight="1">
      <c r="A30" s="536">
        <v>18</v>
      </c>
      <c r="B30" s="541" t="s">
        <v>139</v>
      </c>
      <c r="C30" s="522">
        <v>783.377510758649</v>
      </c>
      <c r="D30" s="522">
        <f t="shared" si="8"/>
        <v>3.2784548599535586</v>
      </c>
      <c r="E30" s="522">
        <f>'Dist-exercise'!L42</f>
        <v>828.527266985671</v>
      </c>
      <c r="F30" s="523">
        <f t="shared" si="9"/>
        <v>45.14975622702195</v>
      </c>
      <c r="G30" s="531">
        <v>828.527266985671</v>
      </c>
      <c r="H30" s="522">
        <f t="shared" si="10"/>
        <v>3.152188855597703</v>
      </c>
      <c r="I30" s="523">
        <f t="shared" si="4"/>
        <v>45.14975622702195</v>
      </c>
      <c r="J30" s="524">
        <f t="shared" si="11"/>
        <v>5.7634736263104385</v>
      </c>
      <c r="K30" s="514"/>
      <c r="L30" s="514"/>
      <c r="M30" s="538">
        <v>235.0132532275947</v>
      </c>
      <c r="N30" s="527">
        <v>248.5581800957013</v>
      </c>
      <c r="O30" s="528">
        <f t="shared" si="12"/>
        <v>13.544926868106586</v>
      </c>
      <c r="P30" s="529">
        <f t="shared" si="13"/>
        <v>5.7634736263104385</v>
      </c>
    </row>
    <row r="31" spans="1:16" ht="24" customHeight="1">
      <c r="A31" s="536">
        <v>19</v>
      </c>
      <c r="B31" s="541" t="s">
        <v>8</v>
      </c>
      <c r="C31" s="522">
        <v>976.3395941488888</v>
      </c>
      <c r="D31" s="522">
        <f t="shared" si="8"/>
        <v>4.086006099795569</v>
      </c>
      <c r="E31" s="522">
        <f>'Dist-exercise'!L43</f>
        <v>1076.49984648083</v>
      </c>
      <c r="F31" s="523">
        <f t="shared" si="9"/>
        <v>100.16025233194125</v>
      </c>
      <c r="G31" s="531">
        <v>1076.49984648083</v>
      </c>
      <c r="H31" s="522">
        <f t="shared" si="10"/>
        <v>4.0956175545978715</v>
      </c>
      <c r="I31" s="523">
        <f t="shared" si="4"/>
        <v>100.16025233194125</v>
      </c>
      <c r="J31" s="524">
        <f t="shared" si="11"/>
        <v>10.258751456172853</v>
      </c>
      <c r="K31" s="514"/>
      <c r="L31" s="514"/>
      <c r="M31" s="538">
        <v>292.9018782446666</v>
      </c>
      <c r="N31" s="527">
        <v>322.949953944249</v>
      </c>
      <c r="O31" s="528">
        <f t="shared" si="12"/>
        <v>30.048075699582398</v>
      </c>
      <c r="P31" s="529">
        <f t="shared" si="13"/>
        <v>10.258751456172863</v>
      </c>
    </row>
    <row r="32" spans="1:16" ht="24" customHeight="1">
      <c r="A32" s="536">
        <v>20</v>
      </c>
      <c r="B32" s="541" t="s">
        <v>9</v>
      </c>
      <c r="C32" s="522">
        <v>720.3256686548498</v>
      </c>
      <c r="D32" s="522">
        <f t="shared" si="8"/>
        <v>3.0145812928223834</v>
      </c>
      <c r="E32" s="522">
        <f>'Dist-exercise'!L44</f>
        <v>783.1484293878345</v>
      </c>
      <c r="F32" s="523">
        <f t="shared" si="9"/>
        <v>62.82276073298476</v>
      </c>
      <c r="G32" s="531">
        <v>783.1484293878345</v>
      </c>
      <c r="H32" s="522">
        <f t="shared" si="10"/>
        <v>2.979541953249767</v>
      </c>
      <c r="I32" s="523">
        <f t="shared" si="4"/>
        <v>62.82276073298476</v>
      </c>
      <c r="J32" s="524">
        <f t="shared" si="11"/>
        <v>8.721438575179642</v>
      </c>
      <c r="K32" s="514"/>
      <c r="L32" s="514"/>
      <c r="M32" s="538">
        <v>216.09770059645493</v>
      </c>
      <c r="N32" s="527">
        <v>234.94452881635036</v>
      </c>
      <c r="O32" s="528">
        <f t="shared" si="12"/>
        <v>18.84682821989543</v>
      </c>
      <c r="P32" s="529">
        <f t="shared" si="13"/>
        <v>8.721438575179642</v>
      </c>
    </row>
    <row r="33" spans="1:16" ht="24" customHeight="1">
      <c r="A33" s="536">
        <v>21</v>
      </c>
      <c r="B33" s="541" t="s">
        <v>10</v>
      </c>
      <c r="C33" s="522">
        <v>1530.070512909314</v>
      </c>
      <c r="D33" s="522">
        <f t="shared" si="8"/>
        <v>6.403384115866759</v>
      </c>
      <c r="E33" s="522">
        <f>'Dist-exercise'!L45</f>
        <v>1698.193280789771</v>
      </c>
      <c r="F33" s="523">
        <f t="shared" si="9"/>
        <v>168.1227678804571</v>
      </c>
      <c r="G33" s="531">
        <v>1698.193280789771</v>
      </c>
      <c r="H33" s="522">
        <f t="shared" si="10"/>
        <v>6.460892897142269</v>
      </c>
      <c r="I33" s="523">
        <f t="shared" si="4"/>
        <v>168.1227678804571</v>
      </c>
      <c r="J33" s="524">
        <f t="shared" si="11"/>
        <v>10.98790980297923</v>
      </c>
      <c r="K33" s="514"/>
      <c r="L33" s="514"/>
      <c r="M33" s="538">
        <v>459.0211538727942</v>
      </c>
      <c r="N33" s="527">
        <v>509.4579842369313</v>
      </c>
      <c r="O33" s="528">
        <f t="shared" si="12"/>
        <v>50.43683036413711</v>
      </c>
      <c r="P33" s="529">
        <f t="shared" si="13"/>
        <v>10.987909802979226</v>
      </c>
    </row>
    <row r="34" spans="1:16" ht="24" customHeight="1">
      <c r="A34" s="536">
        <v>22</v>
      </c>
      <c r="B34" s="541" t="s">
        <v>11</v>
      </c>
      <c r="C34" s="522">
        <v>1528.1280899696226</v>
      </c>
      <c r="D34" s="522">
        <f t="shared" si="8"/>
        <v>6.395255026329137</v>
      </c>
      <c r="E34" s="522">
        <f>'Dist-exercise'!L46</f>
        <v>1686.7069866852169</v>
      </c>
      <c r="F34" s="523">
        <f t="shared" si="9"/>
        <v>158.57889671559428</v>
      </c>
      <c r="G34" s="531">
        <v>1686.7069866852169</v>
      </c>
      <c r="H34" s="522">
        <f t="shared" si="10"/>
        <v>6.417192502826677</v>
      </c>
      <c r="I34" s="523">
        <f t="shared" si="4"/>
        <v>158.57889671559428</v>
      </c>
      <c r="J34" s="524">
        <f t="shared" si="11"/>
        <v>10.37733013066638</v>
      </c>
      <c r="K34" s="514"/>
      <c r="L34" s="514"/>
      <c r="M34" s="538">
        <v>458.43842699088674</v>
      </c>
      <c r="N34" s="527">
        <v>506.012096005565</v>
      </c>
      <c r="O34" s="528">
        <f t="shared" si="12"/>
        <v>47.57366901467827</v>
      </c>
      <c r="P34" s="529">
        <f t="shared" si="13"/>
        <v>10.377330130666378</v>
      </c>
    </row>
    <row r="35" spans="1:16" ht="24" customHeight="1">
      <c r="A35" s="536">
        <v>23</v>
      </c>
      <c r="B35" s="541" t="s">
        <v>220</v>
      </c>
      <c r="C35" s="522">
        <v>1383.021885649173</v>
      </c>
      <c r="D35" s="522">
        <f t="shared" si="8"/>
        <v>5.7879818607986575</v>
      </c>
      <c r="E35" s="522">
        <f>'Dist-exercise'!L47</f>
        <v>1483.3659133664012</v>
      </c>
      <c r="F35" s="523">
        <f t="shared" si="9"/>
        <v>100.34402771722807</v>
      </c>
      <c r="G35" s="531">
        <v>1483.3659133664012</v>
      </c>
      <c r="H35" s="522">
        <f t="shared" si="10"/>
        <v>5.643567432486136</v>
      </c>
      <c r="I35" s="523">
        <f t="shared" si="4"/>
        <v>100.34402771722807</v>
      </c>
      <c r="J35" s="524">
        <f t="shared" si="11"/>
        <v>7.255418642209545</v>
      </c>
      <c r="K35" s="514"/>
      <c r="L35" s="514"/>
      <c r="M35" s="538">
        <v>414.9065656947519</v>
      </c>
      <c r="N35" s="527">
        <v>445.00977400992036</v>
      </c>
      <c r="O35" s="528">
        <f t="shared" si="12"/>
        <v>30.103208315168445</v>
      </c>
      <c r="P35" s="529">
        <f t="shared" si="13"/>
        <v>7.25541864220955</v>
      </c>
    </row>
    <row r="36" spans="1:16" ht="24" customHeight="1">
      <c r="A36" s="536">
        <v>24</v>
      </c>
      <c r="B36" s="541" t="s">
        <v>13</v>
      </c>
      <c r="C36" s="522">
        <v>467.0851892543794</v>
      </c>
      <c r="D36" s="522">
        <f t="shared" si="8"/>
        <v>1.9547634284782673</v>
      </c>
      <c r="E36" s="522">
        <f>'Dist-exercise'!L48</f>
        <v>506.3139888898453</v>
      </c>
      <c r="F36" s="523">
        <f t="shared" si="9"/>
        <v>39.22879963546592</v>
      </c>
      <c r="G36" s="531">
        <v>506.3139888898453</v>
      </c>
      <c r="H36" s="522">
        <f t="shared" si="10"/>
        <v>1.9263063230475335</v>
      </c>
      <c r="I36" s="523">
        <f t="shared" si="4"/>
        <v>39.22879963546592</v>
      </c>
      <c r="J36" s="524">
        <f t="shared" si="11"/>
        <v>8.398639164322017</v>
      </c>
      <c r="K36" s="514"/>
      <c r="L36" s="514"/>
      <c r="M36" s="538">
        <v>140.1255567763138</v>
      </c>
      <c r="N36" s="527">
        <v>151.89419666695358</v>
      </c>
      <c r="O36" s="528">
        <f t="shared" si="12"/>
        <v>11.768639890639776</v>
      </c>
      <c r="P36" s="529">
        <f t="shared" si="13"/>
        <v>8.398639164322018</v>
      </c>
    </row>
    <row r="37" spans="1:16" ht="24" customHeight="1">
      <c r="A37" s="536">
        <v>25</v>
      </c>
      <c r="B37" s="541" t="s">
        <v>14</v>
      </c>
      <c r="C37" s="522">
        <v>1296.1406842676429</v>
      </c>
      <c r="D37" s="522">
        <f t="shared" si="8"/>
        <v>5.42438181740191</v>
      </c>
      <c r="E37" s="522">
        <f>'Dist-exercise'!L49</f>
        <v>1428.5625447986674</v>
      </c>
      <c r="F37" s="523">
        <f t="shared" si="9"/>
        <v>132.42186053102455</v>
      </c>
      <c r="G37" s="531">
        <v>1428.5625447986674</v>
      </c>
      <c r="H37" s="522">
        <f t="shared" si="10"/>
        <v>5.435064255183449</v>
      </c>
      <c r="I37" s="523">
        <f t="shared" si="4"/>
        <v>132.42186053102455</v>
      </c>
      <c r="J37" s="524">
        <f t="shared" si="11"/>
        <v>10.216627109876327</v>
      </c>
      <c r="K37" s="514"/>
      <c r="L37" s="514"/>
      <c r="M37" s="538">
        <v>388.84220528029283</v>
      </c>
      <c r="N37" s="527">
        <v>428.5687634396002</v>
      </c>
      <c r="O37" s="528">
        <f t="shared" si="12"/>
        <v>39.72655815930739</v>
      </c>
      <c r="P37" s="529">
        <f t="shared" si="13"/>
        <v>10.216627109876335</v>
      </c>
    </row>
    <row r="38" spans="1:16" ht="24" customHeight="1">
      <c r="A38" s="536">
        <v>26</v>
      </c>
      <c r="B38" s="541" t="s">
        <v>15</v>
      </c>
      <c r="C38" s="522">
        <v>1313.5663529885753</v>
      </c>
      <c r="D38" s="522">
        <f t="shared" si="8"/>
        <v>5.497308685382529</v>
      </c>
      <c r="E38" s="522">
        <f>'Dist-exercise'!L50</f>
        <v>1441.1014544704863</v>
      </c>
      <c r="F38" s="523">
        <f t="shared" si="9"/>
        <v>127.53510148191094</v>
      </c>
      <c r="G38" s="531">
        <v>1441.1014544704863</v>
      </c>
      <c r="H38" s="522">
        <f t="shared" si="10"/>
        <v>5.482769397673994</v>
      </c>
      <c r="I38" s="523">
        <f t="shared" si="4"/>
        <v>127.53510148191094</v>
      </c>
      <c r="J38" s="524">
        <f t="shared" si="11"/>
        <v>9.70907188599556</v>
      </c>
      <c r="K38" s="514"/>
      <c r="L38" s="514"/>
      <c r="M38" s="538">
        <v>394.0699058965726</v>
      </c>
      <c r="N38" s="527">
        <v>432.33043634114586</v>
      </c>
      <c r="O38" s="528">
        <f t="shared" si="12"/>
        <v>38.26053044457325</v>
      </c>
      <c r="P38" s="529">
        <f t="shared" si="13"/>
        <v>9.709071885995549</v>
      </c>
    </row>
    <row r="39" spans="1:16" ht="24" customHeight="1">
      <c r="A39" s="536">
        <v>27</v>
      </c>
      <c r="B39" s="541" t="s">
        <v>16</v>
      </c>
      <c r="C39" s="522">
        <v>4306.154573431082</v>
      </c>
      <c r="D39" s="522">
        <f t="shared" si="8"/>
        <v>18.02136670390816</v>
      </c>
      <c r="E39" s="522">
        <f>'Dist-exercise'!L51</f>
        <v>4796.400155869798</v>
      </c>
      <c r="F39" s="523">
        <f t="shared" si="9"/>
        <v>490.24558243871616</v>
      </c>
      <c r="G39" s="531">
        <v>4796.400155869798</v>
      </c>
      <c r="H39" s="522">
        <f t="shared" si="10"/>
        <v>18.24823360771945</v>
      </c>
      <c r="I39" s="523">
        <f t="shared" si="4"/>
        <v>490.24558243871616</v>
      </c>
      <c r="J39" s="524">
        <f t="shared" si="11"/>
        <v>11.384765086314482</v>
      </c>
      <c r="K39" s="514"/>
      <c r="L39" s="514"/>
      <c r="M39" s="538">
        <v>1291.8463720293246</v>
      </c>
      <c r="N39" s="527">
        <v>1438.9200467609394</v>
      </c>
      <c r="O39" s="528">
        <f t="shared" si="12"/>
        <v>147.0736747316148</v>
      </c>
      <c r="P39" s="529">
        <f t="shared" si="13"/>
        <v>11.384765086314479</v>
      </c>
    </row>
    <row r="40" spans="1:16" ht="24" customHeight="1">
      <c r="A40" s="536">
        <v>28</v>
      </c>
      <c r="B40" s="541" t="s">
        <v>219</v>
      </c>
      <c r="C40" s="522">
        <v>1948.3111083531003</v>
      </c>
      <c r="D40" s="522">
        <f t="shared" si="8"/>
        <v>8.153731673629364</v>
      </c>
      <c r="E40" s="522">
        <f>'Dist-exercise'!L52</f>
        <v>2132.7058981801583</v>
      </c>
      <c r="F40" s="523">
        <f t="shared" si="9"/>
        <v>184.39478982705805</v>
      </c>
      <c r="G40" s="531">
        <v>2132.7058981801583</v>
      </c>
      <c r="H40" s="522">
        <f t="shared" si="10"/>
        <v>8.114025974026577</v>
      </c>
      <c r="I40" s="523">
        <f t="shared" si="4"/>
        <v>184.39478982705805</v>
      </c>
      <c r="J40" s="524">
        <f t="shared" si="11"/>
        <v>9.464340116755082</v>
      </c>
      <c r="K40" s="514"/>
      <c r="L40" s="514"/>
      <c r="M40" s="538">
        <v>584.4933325059301</v>
      </c>
      <c r="N40" s="527">
        <v>639.8117694540475</v>
      </c>
      <c r="O40" s="528">
        <f t="shared" si="12"/>
        <v>55.31843694811744</v>
      </c>
      <c r="P40" s="529">
        <f t="shared" si="13"/>
        <v>9.464340116755086</v>
      </c>
    </row>
    <row r="41" spans="1:16" ht="29.25" customHeight="1">
      <c r="A41" s="536"/>
      <c r="B41" s="544" t="s">
        <v>141</v>
      </c>
      <c r="C41" s="531">
        <v>22104.1712533391</v>
      </c>
      <c r="D41" s="531">
        <f t="shared" si="8"/>
        <v>92.50652038833145</v>
      </c>
      <c r="E41" s="532">
        <f>SUM(E24:E40)</f>
        <v>24312.891809343622</v>
      </c>
      <c r="F41" s="532"/>
      <c r="G41" s="532">
        <v>24312.891809343622</v>
      </c>
      <c r="H41" s="531">
        <f t="shared" si="10"/>
        <v>92.50006567386887</v>
      </c>
      <c r="I41" s="532">
        <f t="shared" si="4"/>
        <v>2208.720556004522</v>
      </c>
      <c r="J41" s="533">
        <f t="shared" si="11"/>
        <v>9.992324664381472</v>
      </c>
      <c r="K41" s="534"/>
      <c r="L41" s="534"/>
      <c r="M41" s="538">
        <v>6631.25137600173</v>
      </c>
      <c r="N41" s="527">
        <v>7293.864542803087</v>
      </c>
      <c r="O41" s="528">
        <f t="shared" si="12"/>
        <v>662.6131668013568</v>
      </c>
      <c r="P41" s="529">
        <f t="shared" si="13"/>
        <v>9.992279424051558</v>
      </c>
    </row>
    <row r="42" spans="1:17" ht="31.5" customHeight="1">
      <c r="A42" s="536"/>
      <c r="B42" s="544" t="s">
        <v>123</v>
      </c>
      <c r="C42" s="531">
        <v>1790.5457466608968</v>
      </c>
      <c r="D42" s="531">
        <f t="shared" si="8"/>
        <v>7.493479611668542</v>
      </c>
      <c r="E42" s="532">
        <f>E43*7.5/100</f>
        <v>1971.3141525</v>
      </c>
      <c r="F42" s="532"/>
      <c r="G42" s="531">
        <v>1971.3141525</v>
      </c>
      <c r="H42" s="531">
        <f t="shared" si="10"/>
        <v>7.5</v>
      </c>
      <c r="I42" s="532">
        <f t="shared" si="4"/>
        <v>180.76840583910325</v>
      </c>
      <c r="J42" s="533">
        <f t="shared" si="11"/>
        <v>10.095715575891296</v>
      </c>
      <c r="K42" s="534"/>
      <c r="L42" s="534"/>
      <c r="M42" s="538">
        <v>537.163723998269</v>
      </c>
      <c r="N42" s="527">
        <v>591.39424575</v>
      </c>
      <c r="O42" s="528">
        <f t="shared" si="12"/>
        <v>54.230521751730976</v>
      </c>
      <c r="P42" s="529">
        <f>O42/M42*100-0.1</f>
        <v>9.995715575891298</v>
      </c>
      <c r="Q42" s="104"/>
    </row>
    <row r="43" spans="1:17" ht="29.25" customHeight="1">
      <c r="A43" s="536"/>
      <c r="B43" s="545" t="s">
        <v>172</v>
      </c>
      <c r="C43" s="531">
        <v>23894.716999999997</v>
      </c>
      <c r="D43" s="531">
        <f t="shared" si="8"/>
        <v>100</v>
      </c>
      <c r="E43" s="532">
        <f>E44*70/100</f>
        <v>26284.188700000002</v>
      </c>
      <c r="F43" s="532"/>
      <c r="G43" s="531">
        <v>26284.188700000002</v>
      </c>
      <c r="H43" s="531">
        <f t="shared" si="10"/>
        <v>100</v>
      </c>
      <c r="I43" s="532">
        <f t="shared" si="4"/>
        <v>2389.4717000000055</v>
      </c>
      <c r="J43" s="533">
        <f t="shared" si="11"/>
        <v>10.000000000000025</v>
      </c>
      <c r="K43" s="534"/>
      <c r="L43" s="534"/>
      <c r="M43" s="538">
        <v>7168.415099999999</v>
      </c>
      <c r="N43" s="527">
        <v>7885.248788553086</v>
      </c>
      <c r="O43" s="528">
        <f t="shared" si="12"/>
        <v>716.8336885530871</v>
      </c>
      <c r="P43" s="529">
        <f t="shared" si="13"/>
        <v>9.999890890150699</v>
      </c>
      <c r="Q43" s="104"/>
    </row>
    <row r="44" spans="1:17" ht="36" customHeight="1" thickBot="1">
      <c r="A44" s="546" t="s">
        <v>124</v>
      </c>
      <c r="B44" s="547" t="s">
        <v>137</v>
      </c>
      <c r="C44" s="548">
        <v>34135.31</v>
      </c>
      <c r="D44" s="548">
        <f>(D22+D43)/2</f>
        <v>100</v>
      </c>
      <c r="E44" s="549">
        <f>'Dist-exercise'!C82</f>
        <v>37548.841</v>
      </c>
      <c r="F44" s="549"/>
      <c r="G44" s="548">
        <v>37548.841</v>
      </c>
      <c r="H44" s="548">
        <f>(H22+H43)/2</f>
        <v>100</v>
      </c>
      <c r="I44" s="549">
        <f t="shared" si="4"/>
        <v>3413.5310000000027</v>
      </c>
      <c r="J44" s="550">
        <f t="shared" si="11"/>
        <v>10.000000000000009</v>
      </c>
      <c r="K44" s="551"/>
      <c r="L44" s="551"/>
      <c r="M44" s="552">
        <v>16384.9488</v>
      </c>
      <c r="N44" s="553">
        <v>18023.435858553086</v>
      </c>
      <c r="O44" s="549">
        <f t="shared" si="12"/>
        <v>1638.487058553088</v>
      </c>
      <c r="P44" s="554">
        <f t="shared" si="13"/>
        <v>9.999952264440937</v>
      </c>
      <c r="Q44" s="104"/>
    </row>
    <row r="45" spans="1:16" ht="42" customHeight="1">
      <c r="A45" s="711"/>
      <c r="B45" s="711"/>
      <c r="C45" s="711"/>
      <c r="D45" s="711"/>
      <c r="E45" s="711"/>
      <c r="F45" s="711"/>
      <c r="G45" s="711"/>
      <c r="H45" s="711"/>
      <c r="I45" s="711"/>
      <c r="J45" s="711"/>
      <c r="K45" s="711"/>
      <c r="L45" s="711"/>
      <c r="M45" s="711"/>
      <c r="N45" s="711"/>
      <c r="O45" s="711"/>
      <c r="P45" s="711"/>
    </row>
    <row r="46" spans="1:16" ht="30" customHeight="1">
      <c r="A46" s="712"/>
      <c r="B46" s="712"/>
      <c r="C46" s="712"/>
      <c r="D46" s="712"/>
      <c r="E46" s="712"/>
      <c r="F46" s="712"/>
      <c r="G46" s="712"/>
      <c r="H46" s="712"/>
      <c r="I46" s="712"/>
      <c r="J46" s="712"/>
      <c r="K46" s="712"/>
      <c r="L46" s="712"/>
      <c r="M46" s="712"/>
      <c r="N46" s="712"/>
      <c r="O46" s="712"/>
      <c r="P46" s="712"/>
    </row>
    <row r="47" spans="1:16" ht="31.5" customHeight="1">
      <c r="A47" s="715"/>
      <c r="B47" s="715"/>
      <c r="C47" s="715"/>
      <c r="D47" s="715"/>
      <c r="E47" s="715"/>
      <c r="F47" s="715"/>
      <c r="G47" s="715"/>
      <c r="H47" s="715"/>
      <c r="I47" s="715"/>
      <c r="J47" s="715"/>
      <c r="K47" s="715"/>
      <c r="L47" s="715"/>
      <c r="M47" s="715"/>
      <c r="N47" s="715"/>
      <c r="O47" s="715"/>
      <c r="P47" s="715"/>
    </row>
  </sheetData>
  <mergeCells count="13">
    <mergeCell ref="A47:P47"/>
    <mergeCell ref="O5:O6"/>
    <mergeCell ref="A4:G4"/>
    <mergeCell ref="A5:B6"/>
    <mergeCell ref="J5:J6"/>
    <mergeCell ref="I5:I6"/>
    <mergeCell ref="H5:H6"/>
    <mergeCell ref="P5:P6"/>
    <mergeCell ref="A3:P3"/>
    <mergeCell ref="A45:P45"/>
    <mergeCell ref="A46:P46"/>
    <mergeCell ref="M6:N6"/>
    <mergeCell ref="C6:E6"/>
  </mergeCells>
  <printOptions/>
  <pageMargins left="0.64" right="0.5" top="0.41" bottom="0.73" header="0.23" footer="0.06"/>
  <pageSetup horizontalDpi="180" verticalDpi="180" orientation="portrait" paperSize="9" scale="65" r:id="rId1"/>
</worksheet>
</file>

<file path=xl/worksheets/sheet12.xml><?xml version="1.0" encoding="utf-8"?>
<worksheet xmlns="http://schemas.openxmlformats.org/spreadsheetml/2006/main" xmlns:r="http://schemas.openxmlformats.org/officeDocument/2006/relationships">
  <sheetPr codeName="Sheet21"/>
  <dimension ref="A1:Q49"/>
  <sheetViews>
    <sheetView zoomScale="75" zoomScaleNormal="75" zoomScaleSheetLayoutView="75" workbookViewId="0" topLeftCell="A1">
      <selection activeCell="A3" sqref="A3:P3"/>
    </sheetView>
  </sheetViews>
  <sheetFormatPr defaultColWidth="9.00390625" defaultRowHeight="12.75"/>
  <cols>
    <col min="1" max="1" width="6.375" style="103" customWidth="1"/>
    <col min="2" max="2" width="34.50390625" style="107" customWidth="1"/>
    <col min="3" max="3" width="18.00390625" style="103" customWidth="1"/>
    <col min="4" max="4" width="23.125" style="103" hidden="1" customWidth="1"/>
    <col min="5" max="5" width="19.75390625" style="103" customWidth="1"/>
    <col min="6" max="6" width="2.125" style="103" hidden="1" customWidth="1"/>
    <col min="7" max="7" width="15.00390625" style="103" hidden="1" customWidth="1"/>
    <col min="8" max="8" width="0.2421875" style="103" hidden="1" customWidth="1"/>
    <col min="9" max="9" width="14.50390625" style="103" customWidth="1"/>
    <col min="10" max="10" width="0.12890625" style="103" customWidth="1"/>
    <col min="11" max="12" width="0" style="103" hidden="1" customWidth="1"/>
    <col min="13" max="13" width="16.75390625" style="103" customWidth="1"/>
    <col min="14" max="14" width="19.375" style="103" customWidth="1"/>
    <col min="15" max="15" width="14.75390625" style="103" customWidth="1"/>
    <col min="16" max="16" width="14.125" style="103" customWidth="1"/>
    <col min="17" max="17" width="10.50390625" style="103" bestFit="1" customWidth="1"/>
    <col min="18" max="16384" width="9.00390625" style="103" customWidth="1"/>
  </cols>
  <sheetData>
    <row r="1" spans="1:16" ht="30.75" customHeight="1">
      <c r="A1" s="15"/>
      <c r="B1" s="442"/>
      <c r="C1" s="15"/>
      <c r="D1" s="15"/>
      <c r="E1" s="15"/>
      <c r="F1" s="15"/>
      <c r="G1" s="15"/>
      <c r="H1" s="15"/>
      <c r="I1" s="15"/>
      <c r="J1" s="185"/>
      <c r="K1" s="15"/>
      <c r="L1" s="15"/>
      <c r="M1" s="15"/>
      <c r="N1" s="15"/>
      <c r="O1" s="185"/>
      <c r="P1" s="508" t="s">
        <v>275</v>
      </c>
    </row>
    <row r="2" spans="1:16" ht="32.25" customHeight="1">
      <c r="A2" s="15"/>
      <c r="B2" s="442"/>
      <c r="C2" s="15"/>
      <c r="D2" s="15"/>
      <c r="E2" s="15"/>
      <c r="F2" s="15"/>
      <c r="G2" s="14"/>
      <c r="H2" s="14"/>
      <c r="I2" s="14"/>
      <c r="J2" s="185"/>
      <c r="K2" s="15"/>
      <c r="L2" s="15"/>
      <c r="M2" s="15"/>
      <c r="N2" s="15"/>
      <c r="O2" s="185"/>
      <c r="P2" s="185" t="s">
        <v>300</v>
      </c>
    </row>
    <row r="3" spans="1:16" s="105" customFormat="1" ht="38.25" customHeight="1">
      <c r="A3" s="738" t="s">
        <v>273</v>
      </c>
      <c r="B3" s="738"/>
      <c r="C3" s="738"/>
      <c r="D3" s="738"/>
      <c r="E3" s="738"/>
      <c r="F3" s="738"/>
      <c r="G3" s="738"/>
      <c r="H3" s="738"/>
      <c r="I3" s="738"/>
      <c r="J3" s="738"/>
      <c r="K3" s="738"/>
      <c r="L3" s="738"/>
      <c r="M3" s="738"/>
      <c r="N3" s="738"/>
      <c r="O3" s="738"/>
      <c r="P3" s="738"/>
    </row>
    <row r="4" spans="1:15" s="105" customFormat="1" ht="36.75" customHeight="1" thickBot="1">
      <c r="A4" s="718"/>
      <c r="B4" s="718"/>
      <c r="C4" s="718"/>
      <c r="D4" s="718"/>
      <c r="E4" s="718"/>
      <c r="F4" s="718"/>
      <c r="G4" s="718"/>
      <c r="H4" s="443"/>
      <c r="I4" s="443"/>
      <c r="K4" s="15"/>
      <c r="L4" s="15"/>
      <c r="M4" s="15"/>
      <c r="N4" s="15"/>
      <c r="O4" s="254" t="s">
        <v>126</v>
      </c>
    </row>
    <row r="5" spans="1:16" s="106" customFormat="1" ht="65.25" customHeight="1">
      <c r="A5" s="728" t="s">
        <v>77</v>
      </c>
      <c r="B5" s="729"/>
      <c r="C5" s="455" t="s">
        <v>276</v>
      </c>
      <c r="D5" s="456" t="s">
        <v>221</v>
      </c>
      <c r="E5" s="457" t="s">
        <v>278</v>
      </c>
      <c r="F5" s="456"/>
      <c r="G5" s="456"/>
      <c r="H5" s="734" t="s">
        <v>221</v>
      </c>
      <c r="I5" s="732" t="s">
        <v>284</v>
      </c>
      <c r="J5" s="646" t="s">
        <v>246</v>
      </c>
      <c r="K5" s="252"/>
      <c r="L5" s="465"/>
      <c r="M5" s="467" t="s">
        <v>276</v>
      </c>
      <c r="N5" s="468" t="s">
        <v>278</v>
      </c>
      <c r="O5" s="726" t="s">
        <v>285</v>
      </c>
      <c r="P5" s="736" t="s">
        <v>246</v>
      </c>
    </row>
    <row r="6" spans="1:16" s="106" customFormat="1" ht="50.25" customHeight="1">
      <c r="A6" s="730"/>
      <c r="B6" s="731"/>
      <c r="C6" s="741" t="s">
        <v>274</v>
      </c>
      <c r="D6" s="742"/>
      <c r="E6" s="742"/>
      <c r="F6" s="458" t="s">
        <v>120</v>
      </c>
      <c r="G6" s="458" t="s">
        <v>271</v>
      </c>
      <c r="H6" s="735"/>
      <c r="I6" s="733"/>
      <c r="J6" s="646"/>
      <c r="K6" s="252"/>
      <c r="L6" s="465"/>
      <c r="M6" s="740" t="s">
        <v>272</v>
      </c>
      <c r="N6" s="735"/>
      <c r="O6" s="727"/>
      <c r="P6" s="737"/>
    </row>
    <row r="7" spans="1:16" s="105" customFormat="1" ht="25.5" customHeight="1">
      <c r="A7" s="483" t="s">
        <v>51</v>
      </c>
      <c r="B7" s="461">
        <v>1</v>
      </c>
      <c r="C7" s="459">
        <v>2</v>
      </c>
      <c r="D7" s="460"/>
      <c r="E7" s="460">
        <v>3</v>
      </c>
      <c r="F7" s="460">
        <v>4</v>
      </c>
      <c r="G7" s="460">
        <v>4</v>
      </c>
      <c r="H7" s="460"/>
      <c r="I7" s="461">
        <v>4</v>
      </c>
      <c r="J7" s="127">
        <v>5</v>
      </c>
      <c r="K7" s="137"/>
      <c r="L7" s="466"/>
      <c r="M7" s="469">
        <v>5</v>
      </c>
      <c r="N7" s="470">
        <v>6</v>
      </c>
      <c r="O7" s="471">
        <v>7</v>
      </c>
      <c r="P7" s="481">
        <v>8</v>
      </c>
    </row>
    <row r="8" spans="1:16" ht="25.5" customHeight="1">
      <c r="A8" s="484" t="s">
        <v>121</v>
      </c>
      <c r="B8" s="485" t="s">
        <v>173</v>
      </c>
      <c r="C8" s="462"/>
      <c r="D8" s="463"/>
      <c r="E8" s="463"/>
      <c r="F8" s="463"/>
      <c r="G8" s="463"/>
      <c r="H8" s="463"/>
      <c r="I8" s="464"/>
      <c r="J8" s="128"/>
      <c r="K8" s="137"/>
      <c r="L8" s="466"/>
      <c r="M8" s="472"/>
      <c r="N8" s="473"/>
      <c r="O8" s="474"/>
      <c r="P8" s="482"/>
    </row>
    <row r="9" spans="1:16" ht="24" customHeight="1">
      <c r="A9" s="462">
        <v>1</v>
      </c>
      <c r="B9" s="486" t="s">
        <v>150</v>
      </c>
      <c r="C9" s="555">
        <v>768.8649276</v>
      </c>
      <c r="D9" s="556">
        <f aca="true" t="shared" si="0" ref="D9:D22">C9/$C$22*100</f>
        <v>7.508011768459112</v>
      </c>
      <c r="E9" s="557">
        <f aca="true" t="shared" si="1" ref="E9:E21">D9*E$22/100</f>
        <v>845.75142036</v>
      </c>
      <c r="F9" s="556"/>
      <c r="G9" s="557">
        <f aca="true" t="shared" si="2" ref="G9:G22">E9</f>
        <v>845.75142036</v>
      </c>
      <c r="H9" s="556">
        <f aca="true" t="shared" si="3" ref="H9:H22">G9/$G$22*100</f>
        <v>7.508011768459112</v>
      </c>
      <c r="I9" s="558">
        <f>E9-C9</f>
        <v>76.88649276000001</v>
      </c>
      <c r="J9" s="559">
        <f aca="true" t="shared" si="4" ref="J9:J22">I9/C9*100</f>
        <v>10.000000000000002</v>
      </c>
      <c r="K9" s="560"/>
      <c r="L9" s="561" t="e">
        <f>#REF!*13.261/100</f>
        <v>#REF!</v>
      </c>
      <c r="M9" s="475">
        <v>691.97843484</v>
      </c>
      <c r="N9" s="476">
        <f>E9*0.9</f>
        <v>761.176278324</v>
      </c>
      <c r="O9" s="562">
        <f aca="true" t="shared" si="5" ref="O9:O22">N9-M9</f>
        <v>69.19784348400003</v>
      </c>
      <c r="P9" s="573">
        <f aca="true" t="shared" si="6" ref="P9:P22">O9/M9*100</f>
        <v>10.000000000000005</v>
      </c>
    </row>
    <row r="10" spans="1:16" ht="24" customHeight="1">
      <c r="A10" s="462">
        <v>2</v>
      </c>
      <c r="B10" s="486" t="s">
        <v>128</v>
      </c>
      <c r="C10" s="555">
        <v>1894.3255187999998</v>
      </c>
      <c r="D10" s="556">
        <f t="shared" si="0"/>
        <v>18.498201410797208</v>
      </c>
      <c r="E10" s="557">
        <f t="shared" si="1"/>
        <v>2083.75807068</v>
      </c>
      <c r="F10" s="556"/>
      <c r="G10" s="557">
        <f t="shared" si="2"/>
        <v>2083.75807068</v>
      </c>
      <c r="H10" s="556">
        <f t="shared" si="3"/>
        <v>18.498201410797208</v>
      </c>
      <c r="I10" s="558">
        <f>E10-C10</f>
        <v>189.43255188000012</v>
      </c>
      <c r="J10" s="559">
        <f t="shared" si="4"/>
        <v>10.000000000000007</v>
      </c>
      <c r="K10" s="560"/>
      <c r="L10" s="561" t="e">
        <f>#REF!*13.261/100</f>
        <v>#REF!</v>
      </c>
      <c r="M10" s="475">
        <v>1704.89296692</v>
      </c>
      <c r="N10" s="476">
        <f aca="true" t="shared" si="7" ref="N10:N22">E10*0.9</f>
        <v>1875.382263612</v>
      </c>
      <c r="O10" s="562">
        <f t="shared" si="5"/>
        <v>170.48929669200015</v>
      </c>
      <c r="P10" s="573">
        <f t="shared" si="6"/>
        <v>10.000000000000009</v>
      </c>
    </row>
    <row r="11" spans="1:16" ht="24" customHeight="1">
      <c r="A11" s="462">
        <v>3</v>
      </c>
      <c r="B11" s="486" t="s">
        <v>129</v>
      </c>
      <c r="C11" s="555">
        <v>936.6332184</v>
      </c>
      <c r="D11" s="556">
        <f t="shared" si="0"/>
        <v>9.146279110985079</v>
      </c>
      <c r="E11" s="557">
        <f t="shared" si="1"/>
        <v>1030.2965402400002</v>
      </c>
      <c r="F11" s="556"/>
      <c r="G11" s="557">
        <f t="shared" si="2"/>
        <v>1030.2965402400002</v>
      </c>
      <c r="H11" s="556">
        <f t="shared" si="3"/>
        <v>9.14627911098508</v>
      </c>
      <c r="I11" s="558">
        <f aca="true" t="shared" si="8" ref="I11:I44">E11-C11</f>
        <v>93.66332184000021</v>
      </c>
      <c r="J11" s="559">
        <f t="shared" si="4"/>
        <v>10.000000000000021</v>
      </c>
      <c r="K11" s="560"/>
      <c r="L11" s="561" t="e">
        <f>#REF!*13.261/100</f>
        <v>#REF!</v>
      </c>
      <c r="M11" s="475">
        <v>842.96989656</v>
      </c>
      <c r="N11" s="476">
        <f t="shared" si="7"/>
        <v>927.2668862160002</v>
      </c>
      <c r="O11" s="562">
        <f t="shared" si="5"/>
        <v>84.29698965600016</v>
      </c>
      <c r="P11" s="573">
        <f t="shared" si="6"/>
        <v>10.000000000000018</v>
      </c>
    </row>
    <row r="12" spans="1:16" ht="24" customHeight="1">
      <c r="A12" s="462">
        <v>4</v>
      </c>
      <c r="B12" s="486" t="s">
        <v>130</v>
      </c>
      <c r="C12" s="555">
        <v>1855.7291808</v>
      </c>
      <c r="D12" s="556">
        <f t="shared" si="0"/>
        <v>18.121305873595407</v>
      </c>
      <c r="E12" s="557">
        <f t="shared" si="1"/>
        <v>2041.3020988800001</v>
      </c>
      <c r="F12" s="556"/>
      <c r="G12" s="557">
        <f t="shared" si="2"/>
        <v>2041.3020988800001</v>
      </c>
      <c r="H12" s="556">
        <f t="shared" si="3"/>
        <v>18.121305873595407</v>
      </c>
      <c r="I12" s="558">
        <f t="shared" si="8"/>
        <v>185.57291808000014</v>
      </c>
      <c r="J12" s="559">
        <f t="shared" si="4"/>
        <v>10.000000000000007</v>
      </c>
      <c r="K12" s="560"/>
      <c r="L12" s="561" t="e">
        <f>#REF!*13.261/100</f>
        <v>#REF!</v>
      </c>
      <c r="M12" s="475">
        <v>1670.15626272</v>
      </c>
      <c r="N12" s="476">
        <f t="shared" si="7"/>
        <v>1837.171888992</v>
      </c>
      <c r="O12" s="562">
        <f t="shared" si="5"/>
        <v>167.01562627199996</v>
      </c>
      <c r="P12" s="573">
        <f t="shared" si="6"/>
        <v>9.999999999999998</v>
      </c>
    </row>
    <row r="13" spans="1:16" ht="24" customHeight="1">
      <c r="A13" s="462">
        <v>5</v>
      </c>
      <c r="B13" s="486" t="s">
        <v>131</v>
      </c>
      <c r="C13" s="555">
        <v>566.2808712</v>
      </c>
      <c r="D13" s="556">
        <f t="shared" si="0"/>
        <v>5.529766403176066</v>
      </c>
      <c r="E13" s="557">
        <f t="shared" si="1"/>
        <v>622.90895832</v>
      </c>
      <c r="F13" s="556"/>
      <c r="G13" s="557">
        <f t="shared" si="2"/>
        <v>622.90895832</v>
      </c>
      <c r="H13" s="556">
        <f t="shared" si="3"/>
        <v>5.529766403176066</v>
      </c>
      <c r="I13" s="558">
        <f t="shared" si="8"/>
        <v>56.62808712000003</v>
      </c>
      <c r="J13" s="559">
        <f t="shared" si="4"/>
        <v>10.000000000000005</v>
      </c>
      <c r="K13" s="560"/>
      <c r="L13" s="561" t="e">
        <f>#REF!*13.261/100</f>
        <v>#REF!</v>
      </c>
      <c r="M13" s="475">
        <v>509.65278408</v>
      </c>
      <c r="N13" s="476">
        <f t="shared" si="7"/>
        <v>560.6180624880001</v>
      </c>
      <c r="O13" s="562">
        <f t="shared" si="5"/>
        <v>50.965278408000074</v>
      </c>
      <c r="P13" s="573">
        <f t="shared" si="6"/>
        <v>10.000000000000014</v>
      </c>
    </row>
    <row r="14" spans="1:16" ht="24" customHeight="1">
      <c r="A14" s="462">
        <v>6</v>
      </c>
      <c r="B14" s="486" t="s">
        <v>132</v>
      </c>
      <c r="C14" s="555">
        <v>470.4728291999999</v>
      </c>
      <c r="D14" s="556">
        <f t="shared" si="0"/>
        <v>4.594195172095991</v>
      </c>
      <c r="E14" s="557">
        <f t="shared" si="1"/>
        <v>517.52011212</v>
      </c>
      <c r="F14" s="556"/>
      <c r="G14" s="557">
        <f t="shared" si="2"/>
        <v>517.52011212</v>
      </c>
      <c r="H14" s="556">
        <f t="shared" si="3"/>
        <v>4.594195172095991</v>
      </c>
      <c r="I14" s="558">
        <f t="shared" si="8"/>
        <v>47.0472829200001</v>
      </c>
      <c r="J14" s="559">
        <f t="shared" si="4"/>
        <v>10.000000000000023</v>
      </c>
      <c r="K14" s="560"/>
      <c r="L14" s="561" t="e">
        <f>#REF!*13.261/100</f>
        <v>#REF!</v>
      </c>
      <c r="M14" s="475">
        <v>423.42554627999993</v>
      </c>
      <c r="N14" s="476">
        <f t="shared" si="7"/>
        <v>465.768100908</v>
      </c>
      <c r="O14" s="562">
        <f t="shared" si="5"/>
        <v>42.34255462800007</v>
      </c>
      <c r="P14" s="573"/>
    </row>
    <row r="15" spans="1:16" ht="24" customHeight="1">
      <c r="A15" s="462">
        <v>7</v>
      </c>
      <c r="B15" s="486" t="s">
        <v>133</v>
      </c>
      <c r="C15" s="555">
        <v>542.07252</v>
      </c>
      <c r="D15" s="556">
        <f t="shared" si="0"/>
        <v>5.293370413217283</v>
      </c>
      <c r="E15" s="557">
        <f t="shared" si="1"/>
        <v>596.2797720000002</v>
      </c>
      <c r="F15" s="556"/>
      <c r="G15" s="557">
        <f t="shared" si="2"/>
        <v>596.2797720000002</v>
      </c>
      <c r="H15" s="556">
        <f t="shared" si="3"/>
        <v>5.293370413217283</v>
      </c>
      <c r="I15" s="558">
        <f t="shared" si="8"/>
        <v>54.20725200000015</v>
      </c>
      <c r="J15" s="559">
        <f t="shared" si="4"/>
        <v>10.000000000000027</v>
      </c>
      <c r="K15" s="560"/>
      <c r="L15" s="561" t="e">
        <f>#REF!*13.261/100</f>
        <v>#REF!</v>
      </c>
      <c r="M15" s="475">
        <v>487.86526800000007</v>
      </c>
      <c r="N15" s="476">
        <f t="shared" si="7"/>
        <v>536.6517948000002</v>
      </c>
      <c r="O15" s="562">
        <f t="shared" si="5"/>
        <v>48.786526800000104</v>
      </c>
      <c r="P15" s="573">
        <f t="shared" si="6"/>
        <v>10.00000000000002</v>
      </c>
    </row>
    <row r="16" spans="1:16" ht="24" customHeight="1">
      <c r="A16" s="462">
        <v>8</v>
      </c>
      <c r="B16" s="486" t="s">
        <v>134</v>
      </c>
      <c r="C16" s="555">
        <v>573.1505999999999</v>
      </c>
      <c r="D16" s="556">
        <f t="shared" si="0"/>
        <v>5.596849713683573</v>
      </c>
      <c r="E16" s="557">
        <f t="shared" si="1"/>
        <v>630.4656600000001</v>
      </c>
      <c r="F16" s="556"/>
      <c r="G16" s="557">
        <f t="shared" si="2"/>
        <v>630.4656600000001</v>
      </c>
      <c r="H16" s="556">
        <f t="shared" si="3"/>
        <v>5.596849713683573</v>
      </c>
      <c r="I16" s="558">
        <f t="shared" si="8"/>
        <v>57.31506000000013</v>
      </c>
      <c r="J16" s="559">
        <f t="shared" si="4"/>
        <v>10.000000000000025</v>
      </c>
      <c r="K16" s="560"/>
      <c r="L16" s="561" t="e">
        <f>#REF!*13.261/100</f>
        <v>#REF!</v>
      </c>
      <c r="M16" s="475">
        <v>515.8355399999999</v>
      </c>
      <c r="N16" s="476">
        <f t="shared" si="7"/>
        <v>567.4190940000001</v>
      </c>
      <c r="O16" s="562">
        <f t="shared" si="5"/>
        <v>51.58355400000016</v>
      </c>
      <c r="P16" s="573">
        <f t="shared" si="6"/>
        <v>10.000000000000032</v>
      </c>
    </row>
    <row r="17" spans="1:16" ht="24" customHeight="1">
      <c r="A17" s="462">
        <v>9</v>
      </c>
      <c r="B17" s="486" t="s">
        <v>135</v>
      </c>
      <c r="C17" s="555">
        <v>365.57991360000005</v>
      </c>
      <c r="D17" s="556">
        <f t="shared" si="0"/>
        <v>3.5699096097267033</v>
      </c>
      <c r="E17" s="557">
        <f t="shared" si="1"/>
        <v>402.13790496000007</v>
      </c>
      <c r="F17" s="556"/>
      <c r="G17" s="557">
        <f t="shared" si="2"/>
        <v>402.13790496000007</v>
      </c>
      <c r="H17" s="556">
        <f t="shared" si="3"/>
        <v>3.569909609726703</v>
      </c>
      <c r="I17" s="558">
        <f t="shared" si="8"/>
        <v>36.55799136000002</v>
      </c>
      <c r="J17" s="559">
        <f t="shared" si="4"/>
        <v>10.000000000000004</v>
      </c>
      <c r="K17" s="560"/>
      <c r="L17" s="561" t="e">
        <f>#REF!*13.261/100</f>
        <v>#REF!</v>
      </c>
      <c r="M17" s="475">
        <v>329.02192224000004</v>
      </c>
      <c r="N17" s="476">
        <f t="shared" si="7"/>
        <v>361.92411446400007</v>
      </c>
      <c r="O17" s="562">
        <f t="shared" si="5"/>
        <v>32.90219222400003</v>
      </c>
      <c r="P17" s="573">
        <f t="shared" si="6"/>
        <v>10.000000000000009</v>
      </c>
    </row>
    <row r="18" spans="1:16" ht="24" customHeight="1">
      <c r="A18" s="462">
        <v>10</v>
      </c>
      <c r="B18" s="486" t="s">
        <v>136</v>
      </c>
      <c r="C18" s="555">
        <v>799.4408399999999</v>
      </c>
      <c r="D18" s="556">
        <f t="shared" si="0"/>
        <v>7.806587372430483</v>
      </c>
      <c r="E18" s="557">
        <f t="shared" si="1"/>
        <v>879.3849240000001</v>
      </c>
      <c r="F18" s="556"/>
      <c r="G18" s="557">
        <f t="shared" si="2"/>
        <v>879.3849240000001</v>
      </c>
      <c r="H18" s="556">
        <f t="shared" si="3"/>
        <v>7.806587372430485</v>
      </c>
      <c r="I18" s="558">
        <f t="shared" si="8"/>
        <v>79.9440840000002</v>
      </c>
      <c r="J18" s="559">
        <f t="shared" si="4"/>
        <v>10.000000000000027</v>
      </c>
      <c r="K18" s="560"/>
      <c r="L18" s="561" t="e">
        <f>#REF!*13.261/100</f>
        <v>#REF!</v>
      </c>
      <c r="M18" s="475">
        <v>719.4967559999999</v>
      </c>
      <c r="N18" s="476">
        <f t="shared" si="7"/>
        <v>791.4464316000001</v>
      </c>
      <c r="O18" s="562">
        <f t="shared" si="5"/>
        <v>71.9496756000002</v>
      </c>
      <c r="P18" s="573">
        <f t="shared" si="6"/>
        <v>10.00000000000003</v>
      </c>
    </row>
    <row r="19" spans="1:16" ht="24" customHeight="1">
      <c r="A19" s="462">
        <v>11</v>
      </c>
      <c r="B19" s="487" t="s">
        <v>140</v>
      </c>
      <c r="C19" s="555">
        <v>924.6916799999999</v>
      </c>
      <c r="D19" s="556">
        <f t="shared" si="0"/>
        <v>9.029669277941228</v>
      </c>
      <c r="E19" s="557">
        <f t="shared" si="1"/>
        <v>1017.1608479999999</v>
      </c>
      <c r="F19" s="556"/>
      <c r="G19" s="557">
        <f t="shared" si="2"/>
        <v>1017.1608479999999</v>
      </c>
      <c r="H19" s="556">
        <f t="shared" si="3"/>
        <v>9.029669277941228</v>
      </c>
      <c r="I19" s="558">
        <f t="shared" si="8"/>
        <v>92.46916799999997</v>
      </c>
      <c r="J19" s="559">
        <f t="shared" si="4"/>
        <v>9.999999999999998</v>
      </c>
      <c r="K19" s="560"/>
      <c r="L19" s="561" t="e">
        <f>#REF!*13.261/100</f>
        <v>#REF!</v>
      </c>
      <c r="M19" s="475">
        <v>832.2225119999999</v>
      </c>
      <c r="N19" s="476">
        <f t="shared" si="7"/>
        <v>915.4447631999999</v>
      </c>
      <c r="O19" s="562">
        <f t="shared" si="5"/>
        <v>83.22225119999996</v>
      </c>
      <c r="P19" s="573">
        <f t="shared" si="6"/>
        <v>9.999999999999996</v>
      </c>
    </row>
    <row r="20" spans="1:16" ht="30" customHeight="1">
      <c r="A20" s="462"/>
      <c r="B20" s="485" t="s">
        <v>181</v>
      </c>
      <c r="C20" s="563">
        <v>9697.2420996</v>
      </c>
      <c r="D20" s="564">
        <f t="shared" si="0"/>
        <v>94.69414612610814</v>
      </c>
      <c r="E20" s="565">
        <f>D20*E$22/100-0.01</f>
        <v>10666.956309560002</v>
      </c>
      <c r="F20" s="564"/>
      <c r="G20" s="565">
        <f t="shared" si="2"/>
        <v>10666.956309560002</v>
      </c>
      <c r="H20" s="564">
        <f t="shared" si="3"/>
        <v>94.69405735283993</v>
      </c>
      <c r="I20" s="566">
        <f t="shared" si="8"/>
        <v>969.7142099600023</v>
      </c>
      <c r="J20" s="502">
        <f t="shared" si="4"/>
        <v>9.999896877896882</v>
      </c>
      <c r="K20" s="446"/>
      <c r="L20" s="567"/>
      <c r="M20" s="475">
        <v>8727.517889640001</v>
      </c>
      <c r="N20" s="476">
        <f>E20*0.9+0.01</f>
        <v>9600.270678604003</v>
      </c>
      <c r="O20" s="505">
        <f t="shared" si="5"/>
        <v>872.7527889640023</v>
      </c>
      <c r="P20" s="506">
        <f t="shared" si="6"/>
        <v>10.000011458011485</v>
      </c>
    </row>
    <row r="21" spans="1:16" ht="29.25" customHeight="1">
      <c r="A21" s="462"/>
      <c r="B21" s="485" t="s">
        <v>222</v>
      </c>
      <c r="C21" s="563">
        <v>543.3509003999994</v>
      </c>
      <c r="D21" s="564">
        <f t="shared" si="0"/>
        <v>5.305853873891868</v>
      </c>
      <c r="E21" s="565">
        <f t="shared" si="1"/>
        <v>597.6859904399994</v>
      </c>
      <c r="F21" s="564"/>
      <c r="G21" s="565">
        <f t="shared" si="2"/>
        <v>597.6859904399994</v>
      </c>
      <c r="H21" s="564">
        <f t="shared" si="3"/>
        <v>5.305853873891868</v>
      </c>
      <c r="I21" s="566">
        <f t="shared" si="8"/>
        <v>54.335090039999955</v>
      </c>
      <c r="J21" s="502">
        <f t="shared" si="4"/>
        <v>10.000000000000002</v>
      </c>
      <c r="K21" s="446"/>
      <c r="L21" s="567"/>
      <c r="M21" s="475">
        <v>489.0158103599995</v>
      </c>
      <c r="N21" s="476">
        <f t="shared" si="7"/>
        <v>537.9173913959995</v>
      </c>
      <c r="O21" s="505">
        <f t="shared" si="5"/>
        <v>48.90158103600004</v>
      </c>
      <c r="P21" s="506">
        <f t="shared" si="6"/>
        <v>10.000000000000018</v>
      </c>
    </row>
    <row r="22" spans="1:16" ht="30" customHeight="1">
      <c r="A22" s="488"/>
      <c r="B22" s="489" t="s">
        <v>171</v>
      </c>
      <c r="C22" s="563">
        <v>10240.592999999999</v>
      </c>
      <c r="D22" s="564">
        <f t="shared" si="0"/>
        <v>100</v>
      </c>
      <c r="E22" s="564">
        <f>E44*0.3</f>
        <v>11264.6523</v>
      </c>
      <c r="F22" s="564">
        <v>9309.63</v>
      </c>
      <c r="G22" s="565">
        <f t="shared" si="2"/>
        <v>11264.6523</v>
      </c>
      <c r="H22" s="564">
        <f t="shared" si="3"/>
        <v>100</v>
      </c>
      <c r="I22" s="566">
        <f t="shared" si="8"/>
        <v>1024.0593000000008</v>
      </c>
      <c r="J22" s="502">
        <f t="shared" si="4"/>
        <v>10.000000000000009</v>
      </c>
      <c r="K22" s="446"/>
      <c r="L22" s="503"/>
      <c r="M22" s="477">
        <v>9216.5337</v>
      </c>
      <c r="N22" s="476">
        <f t="shared" si="7"/>
        <v>10138.18707</v>
      </c>
      <c r="O22" s="505">
        <f t="shared" si="5"/>
        <v>921.65337</v>
      </c>
      <c r="P22" s="506">
        <f t="shared" si="6"/>
        <v>10</v>
      </c>
    </row>
    <row r="23" spans="1:16" ht="30" customHeight="1">
      <c r="A23" s="490" t="s">
        <v>122</v>
      </c>
      <c r="B23" s="491" t="s">
        <v>174</v>
      </c>
      <c r="C23" s="555"/>
      <c r="D23" s="556"/>
      <c r="E23" s="556"/>
      <c r="F23" s="556"/>
      <c r="G23" s="557"/>
      <c r="H23" s="557"/>
      <c r="I23" s="558">
        <f t="shared" si="8"/>
        <v>0</v>
      </c>
      <c r="J23" s="568"/>
      <c r="K23" s="560"/>
      <c r="L23" s="569"/>
      <c r="M23" s="477"/>
      <c r="N23" s="478"/>
      <c r="O23" s="562"/>
      <c r="P23" s="573"/>
    </row>
    <row r="24" spans="1:16" ht="24" customHeight="1">
      <c r="A24" s="488">
        <v>12</v>
      </c>
      <c r="B24" s="492" t="s">
        <v>2</v>
      </c>
      <c r="C24" s="555">
        <v>1402.342616075642</v>
      </c>
      <c r="D24" s="556">
        <f aca="true" t="shared" si="9" ref="D24:D43">C24/$C$43*100</f>
        <v>5.868839610344169</v>
      </c>
      <c r="E24" s="556">
        <f>'Dist-exercise'!L36</f>
        <v>1534.13292314943</v>
      </c>
      <c r="F24" s="557">
        <f aca="true" t="shared" si="10" ref="F24:F40">E24-C24</f>
        <v>131.7903070737882</v>
      </c>
      <c r="G24" s="564">
        <v>1534.13292314943</v>
      </c>
      <c r="H24" s="570">
        <f aca="true" t="shared" si="11" ref="H24:H43">G24/$G$43*100</f>
        <v>5.836714005745325</v>
      </c>
      <c r="I24" s="558">
        <f t="shared" si="8"/>
        <v>131.7903070737882</v>
      </c>
      <c r="J24" s="559">
        <f aca="true" t="shared" si="12" ref="J24:J44">I24/C24*100</f>
        <v>9.397867936338852</v>
      </c>
      <c r="K24" s="560"/>
      <c r="L24" s="569"/>
      <c r="M24" s="477">
        <v>420.70278482269254</v>
      </c>
      <c r="N24" s="476">
        <f>E24*0.3</f>
        <v>460.239876944829</v>
      </c>
      <c r="O24" s="562">
        <f aca="true" t="shared" si="13" ref="O24:O44">N24-M24</f>
        <v>39.53709212213647</v>
      </c>
      <c r="P24" s="573">
        <f aca="true" t="shared" si="14" ref="P24:P44">O24/M24*100</f>
        <v>9.397867936338855</v>
      </c>
    </row>
    <row r="25" spans="1:16" ht="24" customHeight="1">
      <c r="A25" s="488">
        <v>13</v>
      </c>
      <c r="B25" s="492" t="s">
        <v>96</v>
      </c>
      <c r="C25" s="555">
        <v>2445.347900006363</v>
      </c>
      <c r="D25" s="556">
        <f t="shared" si="9"/>
        <v>10.233843321962604</v>
      </c>
      <c r="E25" s="556">
        <f>'Dist-exercise'!L37</f>
        <v>2714.9289101037693</v>
      </c>
      <c r="F25" s="557">
        <f t="shared" si="10"/>
        <v>269.5810100974063</v>
      </c>
      <c r="G25" s="564">
        <v>2714.9289101037693</v>
      </c>
      <c r="H25" s="556">
        <f t="shared" si="11"/>
        <v>10.32913338544008</v>
      </c>
      <c r="I25" s="558">
        <f t="shared" si="8"/>
        <v>269.5810100974063</v>
      </c>
      <c r="J25" s="559">
        <f t="shared" si="12"/>
        <v>11.024239540586631</v>
      </c>
      <c r="K25" s="560"/>
      <c r="L25" s="569"/>
      <c r="M25" s="477">
        <v>733.6043700019089</v>
      </c>
      <c r="N25" s="476">
        <f aca="true" t="shared" si="15" ref="N25:N42">E25*0.3</f>
        <v>814.4786730311308</v>
      </c>
      <c r="O25" s="562">
        <f t="shared" si="13"/>
        <v>80.87430302922189</v>
      </c>
      <c r="P25" s="573">
        <f t="shared" si="14"/>
        <v>11.024239540586631</v>
      </c>
    </row>
    <row r="26" spans="1:16" ht="24" customHeight="1">
      <c r="A26" s="488">
        <v>14</v>
      </c>
      <c r="B26" s="492" t="s">
        <v>138</v>
      </c>
      <c r="C26" s="555">
        <v>635.9007434871434</v>
      </c>
      <c r="D26" s="556">
        <f t="shared" si="9"/>
        <v>2.661260828019614</v>
      </c>
      <c r="E26" s="556">
        <f>'Dist-exercise'!L38</f>
        <v>705.243181070035</v>
      </c>
      <c r="F26" s="557">
        <f t="shared" si="10"/>
        <v>69.34243758289165</v>
      </c>
      <c r="G26" s="564">
        <v>705.243181070035</v>
      </c>
      <c r="H26" s="556">
        <f t="shared" si="11"/>
        <v>2.6831460887740275</v>
      </c>
      <c r="I26" s="558">
        <f t="shared" si="8"/>
        <v>69.34243758289165</v>
      </c>
      <c r="J26" s="559">
        <f t="shared" si="12"/>
        <v>10.90460080336321</v>
      </c>
      <c r="K26" s="560"/>
      <c r="L26" s="569"/>
      <c r="M26" s="477">
        <v>190.770223046143</v>
      </c>
      <c r="N26" s="476">
        <f t="shared" si="15"/>
        <v>211.57295432101049</v>
      </c>
      <c r="O26" s="562">
        <f t="shared" si="13"/>
        <v>20.802731274867483</v>
      </c>
      <c r="P26" s="573">
        <f t="shared" si="14"/>
        <v>10.904600803363202</v>
      </c>
    </row>
    <row r="27" spans="1:16" ht="24" customHeight="1">
      <c r="A27" s="488">
        <v>15</v>
      </c>
      <c r="B27" s="493" t="s">
        <v>279</v>
      </c>
      <c r="C27" s="555">
        <v>109.38248651052064</v>
      </c>
      <c r="D27" s="556">
        <f t="shared" si="9"/>
        <v>0.4577684954817446</v>
      </c>
      <c r="E27" s="556">
        <f>'Dist-exercise'!L39</f>
        <v>110.09470889157984</v>
      </c>
      <c r="F27" s="557">
        <f t="shared" si="10"/>
        <v>0.7122223810592061</v>
      </c>
      <c r="G27" s="564">
        <v>110.09470889157984</v>
      </c>
      <c r="H27" s="556">
        <f t="shared" si="11"/>
        <v>0.41886287664484706</v>
      </c>
      <c r="I27" s="558">
        <f t="shared" si="8"/>
        <v>0.7122223810592061</v>
      </c>
      <c r="J27" s="559">
        <f t="shared" si="12"/>
        <v>0.6511301797758118</v>
      </c>
      <c r="K27" s="560"/>
      <c r="L27" s="569"/>
      <c r="M27" s="477">
        <v>32.81474595315619</v>
      </c>
      <c r="N27" s="476">
        <f t="shared" si="15"/>
        <v>33.02841266747395</v>
      </c>
      <c r="O27" s="562">
        <f t="shared" si="13"/>
        <v>0.2136667143177604</v>
      </c>
      <c r="P27" s="573">
        <f t="shared" si="14"/>
        <v>0.6511301797758074</v>
      </c>
    </row>
    <row r="28" spans="1:16" ht="24" customHeight="1">
      <c r="A28" s="488">
        <v>16</v>
      </c>
      <c r="B28" s="492" t="s">
        <v>6</v>
      </c>
      <c r="C28" s="555">
        <v>867.9045827276559</v>
      </c>
      <c r="D28" s="556">
        <f t="shared" si="9"/>
        <v>3.632202811724684</v>
      </c>
      <c r="E28" s="556">
        <f>'Dist-exercise'!L40</f>
        <v>964.7281309040318</v>
      </c>
      <c r="F28" s="557">
        <f t="shared" si="10"/>
        <v>96.82354817637588</v>
      </c>
      <c r="G28" s="564">
        <v>964.7281309040318</v>
      </c>
      <c r="H28" s="556">
        <f t="shared" si="11"/>
        <v>3.670374390912936</v>
      </c>
      <c r="I28" s="558">
        <f t="shared" si="8"/>
        <v>96.82354817637588</v>
      </c>
      <c r="J28" s="559">
        <f t="shared" si="12"/>
        <v>11.15601301148546</v>
      </c>
      <c r="K28" s="560"/>
      <c r="L28" s="569"/>
      <c r="M28" s="477">
        <v>260.3713748182968</v>
      </c>
      <c r="N28" s="476">
        <f t="shared" si="15"/>
        <v>289.41843927120954</v>
      </c>
      <c r="O28" s="562">
        <f t="shared" si="13"/>
        <v>29.047064452912764</v>
      </c>
      <c r="P28" s="573">
        <f t="shared" si="14"/>
        <v>11.15601301148546</v>
      </c>
    </row>
    <row r="29" spans="1:16" ht="24" customHeight="1">
      <c r="A29" s="488">
        <v>17</v>
      </c>
      <c r="B29" s="492" t="s">
        <v>7</v>
      </c>
      <c r="C29" s="555">
        <v>390.7717541464978</v>
      </c>
      <c r="D29" s="556">
        <f t="shared" si="9"/>
        <v>1.6353897564323439</v>
      </c>
      <c r="E29" s="556">
        <f>'Dist-exercise'!L41</f>
        <v>422.2381893200995</v>
      </c>
      <c r="F29" s="557">
        <f t="shared" si="10"/>
        <v>31.466435173601667</v>
      </c>
      <c r="G29" s="564">
        <v>422.2381893200995</v>
      </c>
      <c r="H29" s="556">
        <f t="shared" si="11"/>
        <v>1.6064341728002411</v>
      </c>
      <c r="I29" s="558">
        <f t="shared" si="8"/>
        <v>31.466435173601667</v>
      </c>
      <c r="J29" s="559">
        <f t="shared" si="12"/>
        <v>8.052382200020809</v>
      </c>
      <c r="K29" s="560"/>
      <c r="L29" s="569"/>
      <c r="M29" s="477">
        <v>117.23152624394933</v>
      </c>
      <c r="N29" s="476">
        <f t="shared" si="15"/>
        <v>126.67145679602984</v>
      </c>
      <c r="O29" s="562">
        <f t="shared" si="13"/>
        <v>9.439930552080511</v>
      </c>
      <c r="P29" s="573">
        <f t="shared" si="14"/>
        <v>8.05238220002082</v>
      </c>
    </row>
    <row r="30" spans="1:16" ht="24" customHeight="1">
      <c r="A30" s="488">
        <v>18</v>
      </c>
      <c r="B30" s="492" t="s">
        <v>139</v>
      </c>
      <c r="C30" s="555">
        <v>783.377510758649</v>
      </c>
      <c r="D30" s="556">
        <f t="shared" si="9"/>
        <v>3.2784548599535586</v>
      </c>
      <c r="E30" s="556">
        <f>'Dist-exercise'!L42</f>
        <v>828.527266985671</v>
      </c>
      <c r="F30" s="557">
        <f t="shared" si="10"/>
        <v>45.14975622702195</v>
      </c>
      <c r="G30" s="564">
        <v>828.527266985671</v>
      </c>
      <c r="H30" s="556">
        <f t="shared" si="11"/>
        <v>3.152188855597703</v>
      </c>
      <c r="I30" s="558">
        <f t="shared" si="8"/>
        <v>45.14975622702195</v>
      </c>
      <c r="J30" s="559">
        <f t="shared" si="12"/>
        <v>5.7634736263104385</v>
      </c>
      <c r="K30" s="560"/>
      <c r="L30" s="569"/>
      <c r="M30" s="477">
        <v>235.0132532275947</v>
      </c>
      <c r="N30" s="476">
        <f t="shared" si="15"/>
        <v>248.5581800957013</v>
      </c>
      <c r="O30" s="562">
        <f t="shared" si="13"/>
        <v>13.544926868106586</v>
      </c>
      <c r="P30" s="573">
        <f t="shared" si="14"/>
        <v>5.7634736263104385</v>
      </c>
    </row>
    <row r="31" spans="1:16" ht="24" customHeight="1">
      <c r="A31" s="488">
        <v>19</v>
      </c>
      <c r="B31" s="492" t="s">
        <v>8</v>
      </c>
      <c r="C31" s="555">
        <v>976.3395941488888</v>
      </c>
      <c r="D31" s="556">
        <f t="shared" si="9"/>
        <v>4.086006099795569</v>
      </c>
      <c r="E31" s="556">
        <f>'Dist-exercise'!L43</f>
        <v>1076.49984648083</v>
      </c>
      <c r="F31" s="557">
        <f t="shared" si="10"/>
        <v>100.16025233194125</v>
      </c>
      <c r="G31" s="564">
        <v>1076.49984648083</v>
      </c>
      <c r="H31" s="556">
        <f t="shared" si="11"/>
        <v>4.0956175545978715</v>
      </c>
      <c r="I31" s="558">
        <f t="shared" si="8"/>
        <v>100.16025233194125</v>
      </c>
      <c r="J31" s="559">
        <f t="shared" si="12"/>
        <v>10.258751456172853</v>
      </c>
      <c r="K31" s="560"/>
      <c r="L31" s="569"/>
      <c r="M31" s="477">
        <v>292.9018782446666</v>
      </c>
      <c r="N31" s="476">
        <f t="shared" si="15"/>
        <v>322.949953944249</v>
      </c>
      <c r="O31" s="562">
        <f t="shared" si="13"/>
        <v>30.048075699582398</v>
      </c>
      <c r="P31" s="573">
        <f t="shared" si="14"/>
        <v>10.258751456172863</v>
      </c>
    </row>
    <row r="32" spans="1:16" ht="24" customHeight="1">
      <c r="A32" s="488">
        <v>20</v>
      </c>
      <c r="B32" s="492" t="s">
        <v>9</v>
      </c>
      <c r="C32" s="555">
        <v>720.3256686548498</v>
      </c>
      <c r="D32" s="556">
        <f t="shared" si="9"/>
        <v>3.0145812928223834</v>
      </c>
      <c r="E32" s="556">
        <f>'Dist-exercise'!L44</f>
        <v>783.1484293878345</v>
      </c>
      <c r="F32" s="557">
        <f t="shared" si="10"/>
        <v>62.82276073298476</v>
      </c>
      <c r="G32" s="564">
        <v>783.1484293878345</v>
      </c>
      <c r="H32" s="556">
        <f t="shared" si="11"/>
        <v>2.979541953249767</v>
      </c>
      <c r="I32" s="558">
        <f t="shared" si="8"/>
        <v>62.82276073298476</v>
      </c>
      <c r="J32" s="559">
        <f t="shared" si="12"/>
        <v>8.721438575179642</v>
      </c>
      <c r="K32" s="560"/>
      <c r="L32" s="569"/>
      <c r="M32" s="477">
        <v>216.09770059645493</v>
      </c>
      <c r="N32" s="476">
        <f t="shared" si="15"/>
        <v>234.94452881635036</v>
      </c>
      <c r="O32" s="562">
        <f t="shared" si="13"/>
        <v>18.84682821989543</v>
      </c>
      <c r="P32" s="573">
        <f t="shared" si="14"/>
        <v>8.721438575179642</v>
      </c>
    </row>
    <row r="33" spans="1:16" ht="24" customHeight="1">
      <c r="A33" s="488">
        <v>21</v>
      </c>
      <c r="B33" s="492" t="s">
        <v>10</v>
      </c>
      <c r="C33" s="555">
        <v>1530.070512909314</v>
      </c>
      <c r="D33" s="556">
        <f t="shared" si="9"/>
        <v>6.403384115866759</v>
      </c>
      <c r="E33" s="556">
        <f>'Dist-exercise'!L45</f>
        <v>1698.193280789771</v>
      </c>
      <c r="F33" s="557">
        <f t="shared" si="10"/>
        <v>168.1227678804571</v>
      </c>
      <c r="G33" s="564">
        <v>1698.193280789771</v>
      </c>
      <c r="H33" s="556">
        <f t="shared" si="11"/>
        <v>6.460892897142269</v>
      </c>
      <c r="I33" s="558">
        <f t="shared" si="8"/>
        <v>168.1227678804571</v>
      </c>
      <c r="J33" s="559">
        <f t="shared" si="12"/>
        <v>10.98790980297923</v>
      </c>
      <c r="K33" s="560"/>
      <c r="L33" s="569"/>
      <c r="M33" s="477">
        <v>459.0211538727942</v>
      </c>
      <c r="N33" s="476">
        <f t="shared" si="15"/>
        <v>509.4579842369313</v>
      </c>
      <c r="O33" s="562">
        <f t="shared" si="13"/>
        <v>50.43683036413711</v>
      </c>
      <c r="P33" s="573">
        <f t="shared" si="14"/>
        <v>10.987909802979226</v>
      </c>
    </row>
    <row r="34" spans="1:16" ht="24" customHeight="1">
      <c r="A34" s="488">
        <v>22</v>
      </c>
      <c r="B34" s="492" t="s">
        <v>11</v>
      </c>
      <c r="C34" s="555">
        <v>1528.1280899696226</v>
      </c>
      <c r="D34" s="556">
        <f t="shared" si="9"/>
        <v>6.395255026329137</v>
      </c>
      <c r="E34" s="556">
        <f>'Dist-exercise'!L46</f>
        <v>1686.7069866852169</v>
      </c>
      <c r="F34" s="557">
        <f t="shared" si="10"/>
        <v>158.57889671559428</v>
      </c>
      <c r="G34" s="564">
        <v>1686.7069866852169</v>
      </c>
      <c r="H34" s="556">
        <f t="shared" si="11"/>
        <v>6.417192502826677</v>
      </c>
      <c r="I34" s="558">
        <f t="shared" si="8"/>
        <v>158.57889671559428</v>
      </c>
      <c r="J34" s="559">
        <f t="shared" si="12"/>
        <v>10.37733013066638</v>
      </c>
      <c r="K34" s="560"/>
      <c r="L34" s="569"/>
      <c r="M34" s="477">
        <v>458.43842699088674</v>
      </c>
      <c r="N34" s="476">
        <f t="shared" si="15"/>
        <v>506.012096005565</v>
      </c>
      <c r="O34" s="562">
        <f t="shared" si="13"/>
        <v>47.57366901467827</v>
      </c>
      <c r="P34" s="573">
        <f t="shared" si="14"/>
        <v>10.377330130666378</v>
      </c>
    </row>
    <row r="35" spans="1:16" ht="24" customHeight="1">
      <c r="A35" s="488">
        <v>23</v>
      </c>
      <c r="B35" s="492" t="s">
        <v>220</v>
      </c>
      <c r="C35" s="555">
        <v>1383.021885649173</v>
      </c>
      <c r="D35" s="556">
        <f t="shared" si="9"/>
        <v>5.7879818607986575</v>
      </c>
      <c r="E35" s="556">
        <f>'Dist-exercise'!L47</f>
        <v>1483.3659133664012</v>
      </c>
      <c r="F35" s="557">
        <f t="shared" si="10"/>
        <v>100.34402771722807</v>
      </c>
      <c r="G35" s="564">
        <v>1483.3659133664012</v>
      </c>
      <c r="H35" s="556">
        <f t="shared" si="11"/>
        <v>5.643567432486136</v>
      </c>
      <c r="I35" s="558">
        <f t="shared" si="8"/>
        <v>100.34402771722807</v>
      </c>
      <c r="J35" s="559">
        <f t="shared" si="12"/>
        <v>7.255418642209545</v>
      </c>
      <c r="K35" s="560"/>
      <c r="L35" s="569"/>
      <c r="M35" s="477">
        <v>414.9065656947519</v>
      </c>
      <c r="N35" s="476">
        <f t="shared" si="15"/>
        <v>445.00977400992036</v>
      </c>
      <c r="O35" s="562">
        <f t="shared" si="13"/>
        <v>30.103208315168445</v>
      </c>
      <c r="P35" s="573">
        <f t="shared" si="14"/>
        <v>7.25541864220955</v>
      </c>
    </row>
    <row r="36" spans="1:16" ht="24" customHeight="1">
      <c r="A36" s="488">
        <v>24</v>
      </c>
      <c r="B36" s="492" t="s">
        <v>13</v>
      </c>
      <c r="C36" s="555">
        <v>467.0851892543794</v>
      </c>
      <c r="D36" s="556">
        <f t="shared" si="9"/>
        <v>1.9547634284782673</v>
      </c>
      <c r="E36" s="556">
        <f>'Dist-exercise'!L48</f>
        <v>506.3139888898453</v>
      </c>
      <c r="F36" s="557">
        <f t="shared" si="10"/>
        <v>39.22879963546592</v>
      </c>
      <c r="G36" s="564">
        <v>506.3139888898453</v>
      </c>
      <c r="H36" s="556">
        <f t="shared" si="11"/>
        <v>1.9263063230475335</v>
      </c>
      <c r="I36" s="558">
        <f t="shared" si="8"/>
        <v>39.22879963546592</v>
      </c>
      <c r="J36" s="559">
        <f t="shared" si="12"/>
        <v>8.398639164322017</v>
      </c>
      <c r="K36" s="560"/>
      <c r="L36" s="569"/>
      <c r="M36" s="477">
        <v>140.1255567763138</v>
      </c>
      <c r="N36" s="476">
        <f t="shared" si="15"/>
        <v>151.89419666695358</v>
      </c>
      <c r="O36" s="562">
        <f t="shared" si="13"/>
        <v>11.768639890639776</v>
      </c>
      <c r="P36" s="573">
        <f t="shared" si="14"/>
        <v>8.398639164322018</v>
      </c>
    </row>
    <row r="37" spans="1:16" ht="24" customHeight="1">
      <c r="A37" s="488">
        <v>25</v>
      </c>
      <c r="B37" s="492" t="s">
        <v>14</v>
      </c>
      <c r="C37" s="555">
        <v>1296.1406842676429</v>
      </c>
      <c r="D37" s="556">
        <f t="shared" si="9"/>
        <v>5.42438181740191</v>
      </c>
      <c r="E37" s="556">
        <f>'Dist-exercise'!L49</f>
        <v>1428.5625447986674</v>
      </c>
      <c r="F37" s="557">
        <f t="shared" si="10"/>
        <v>132.42186053102455</v>
      </c>
      <c r="G37" s="564">
        <v>1428.5625447986674</v>
      </c>
      <c r="H37" s="556">
        <f t="shared" si="11"/>
        <v>5.435064255183449</v>
      </c>
      <c r="I37" s="558">
        <f t="shared" si="8"/>
        <v>132.42186053102455</v>
      </c>
      <c r="J37" s="559">
        <f t="shared" si="12"/>
        <v>10.216627109876327</v>
      </c>
      <c r="K37" s="560"/>
      <c r="L37" s="569"/>
      <c r="M37" s="477">
        <v>388.84220528029283</v>
      </c>
      <c r="N37" s="476">
        <f t="shared" si="15"/>
        <v>428.5687634396002</v>
      </c>
      <c r="O37" s="562">
        <f t="shared" si="13"/>
        <v>39.72655815930739</v>
      </c>
      <c r="P37" s="573">
        <f t="shared" si="14"/>
        <v>10.216627109876335</v>
      </c>
    </row>
    <row r="38" spans="1:16" ht="24" customHeight="1">
      <c r="A38" s="488">
        <v>26</v>
      </c>
      <c r="B38" s="492" t="s">
        <v>15</v>
      </c>
      <c r="C38" s="555">
        <v>1313.5663529885753</v>
      </c>
      <c r="D38" s="556">
        <f t="shared" si="9"/>
        <v>5.497308685382529</v>
      </c>
      <c r="E38" s="556">
        <f>'Dist-exercise'!L50</f>
        <v>1441.1014544704863</v>
      </c>
      <c r="F38" s="557">
        <f t="shared" si="10"/>
        <v>127.53510148191094</v>
      </c>
      <c r="G38" s="564">
        <v>1441.1014544704863</v>
      </c>
      <c r="H38" s="556">
        <f t="shared" si="11"/>
        <v>5.482769397673994</v>
      </c>
      <c r="I38" s="558">
        <f t="shared" si="8"/>
        <v>127.53510148191094</v>
      </c>
      <c r="J38" s="559">
        <f t="shared" si="12"/>
        <v>9.70907188599556</v>
      </c>
      <c r="K38" s="560"/>
      <c r="L38" s="569"/>
      <c r="M38" s="477">
        <v>394.0699058965726</v>
      </c>
      <c r="N38" s="476">
        <f t="shared" si="15"/>
        <v>432.33043634114586</v>
      </c>
      <c r="O38" s="562">
        <f t="shared" si="13"/>
        <v>38.26053044457325</v>
      </c>
      <c r="P38" s="573">
        <f t="shared" si="14"/>
        <v>9.709071885995549</v>
      </c>
    </row>
    <row r="39" spans="1:16" ht="24" customHeight="1">
      <c r="A39" s="488">
        <v>27</v>
      </c>
      <c r="B39" s="492" t="s">
        <v>16</v>
      </c>
      <c r="C39" s="555">
        <v>4306.154573431082</v>
      </c>
      <c r="D39" s="556">
        <f t="shared" si="9"/>
        <v>18.02136670390816</v>
      </c>
      <c r="E39" s="556">
        <f>'Dist-exercise'!L51</f>
        <v>4796.400155869798</v>
      </c>
      <c r="F39" s="557">
        <f t="shared" si="10"/>
        <v>490.24558243871616</v>
      </c>
      <c r="G39" s="564">
        <v>4796.400155869798</v>
      </c>
      <c r="H39" s="556">
        <f t="shared" si="11"/>
        <v>18.24823360771945</v>
      </c>
      <c r="I39" s="558">
        <f t="shared" si="8"/>
        <v>490.24558243871616</v>
      </c>
      <c r="J39" s="559">
        <f t="shared" si="12"/>
        <v>11.384765086314482</v>
      </c>
      <c r="K39" s="560"/>
      <c r="L39" s="569"/>
      <c r="M39" s="477">
        <v>1291.8463720293246</v>
      </c>
      <c r="N39" s="476">
        <f t="shared" si="15"/>
        <v>1438.9200467609394</v>
      </c>
      <c r="O39" s="562">
        <f t="shared" si="13"/>
        <v>147.0736747316148</v>
      </c>
      <c r="P39" s="573">
        <f t="shared" si="14"/>
        <v>11.384765086314479</v>
      </c>
    </row>
    <row r="40" spans="1:16" ht="27.75" customHeight="1">
      <c r="A40" s="488">
        <v>28</v>
      </c>
      <c r="B40" s="492" t="s">
        <v>219</v>
      </c>
      <c r="C40" s="555">
        <v>1948.3111083531003</v>
      </c>
      <c r="D40" s="556">
        <f t="shared" si="9"/>
        <v>8.153731673629364</v>
      </c>
      <c r="E40" s="556">
        <f>'Dist-exercise'!L52</f>
        <v>2132.7058981801583</v>
      </c>
      <c r="F40" s="557">
        <f t="shared" si="10"/>
        <v>184.39478982705805</v>
      </c>
      <c r="G40" s="564">
        <v>2132.7058981801583</v>
      </c>
      <c r="H40" s="556">
        <f t="shared" si="11"/>
        <v>8.114025974026577</v>
      </c>
      <c r="I40" s="558">
        <f t="shared" si="8"/>
        <v>184.39478982705805</v>
      </c>
      <c r="J40" s="559">
        <f t="shared" si="12"/>
        <v>9.464340116755082</v>
      </c>
      <c r="K40" s="560"/>
      <c r="L40" s="569"/>
      <c r="M40" s="477">
        <v>584.4933325059301</v>
      </c>
      <c r="N40" s="476">
        <f t="shared" si="15"/>
        <v>639.8117694540475</v>
      </c>
      <c r="O40" s="562">
        <f t="shared" si="13"/>
        <v>55.31843694811744</v>
      </c>
      <c r="P40" s="573">
        <f t="shared" si="14"/>
        <v>9.464340116755086</v>
      </c>
    </row>
    <row r="41" spans="1:16" ht="29.25" customHeight="1">
      <c r="A41" s="488"/>
      <c r="B41" s="494" t="s">
        <v>141</v>
      </c>
      <c r="C41" s="563">
        <f>SUM(C24:C40)</f>
        <v>22104.1712533391</v>
      </c>
      <c r="D41" s="564">
        <f t="shared" si="9"/>
        <v>92.50652038833145</v>
      </c>
      <c r="E41" s="563">
        <f>SUM(E24:E40)-0.01</f>
        <v>24312.881809343624</v>
      </c>
      <c r="F41" s="565"/>
      <c r="G41" s="565">
        <v>24312.891809343622</v>
      </c>
      <c r="H41" s="564">
        <f t="shared" si="11"/>
        <v>92.50006567386887</v>
      </c>
      <c r="I41" s="566">
        <f t="shared" si="8"/>
        <v>2208.710556004524</v>
      </c>
      <c r="J41" s="502">
        <f t="shared" si="12"/>
        <v>9.992279424051564</v>
      </c>
      <c r="K41" s="446"/>
      <c r="L41" s="503"/>
      <c r="M41" s="477">
        <v>6631.25137600173</v>
      </c>
      <c r="N41" s="476">
        <f t="shared" si="15"/>
        <v>7293.864542803087</v>
      </c>
      <c r="O41" s="505">
        <f t="shared" si="13"/>
        <v>662.6131668013568</v>
      </c>
      <c r="P41" s="506">
        <f>O41/M41*100</f>
        <v>9.992279424051558</v>
      </c>
    </row>
    <row r="42" spans="1:17" ht="31.5" customHeight="1">
      <c r="A42" s="488"/>
      <c r="B42" s="494" t="s">
        <v>123</v>
      </c>
      <c r="C42" s="563">
        <v>1790.5457466608968</v>
      </c>
      <c r="D42" s="564">
        <f t="shared" si="9"/>
        <v>7.493479611668542</v>
      </c>
      <c r="E42" s="565">
        <f>E43*7.5/100</f>
        <v>1971.3141524999999</v>
      </c>
      <c r="F42" s="565"/>
      <c r="G42" s="564">
        <v>1971.3141525</v>
      </c>
      <c r="H42" s="564">
        <f t="shared" si="11"/>
        <v>7.5</v>
      </c>
      <c r="I42" s="566">
        <f t="shared" si="8"/>
        <v>180.76840583910302</v>
      </c>
      <c r="J42" s="502">
        <f t="shared" si="12"/>
        <v>10.095715575891283</v>
      </c>
      <c r="K42" s="446"/>
      <c r="L42" s="503"/>
      <c r="M42" s="477">
        <v>537.163723998269</v>
      </c>
      <c r="N42" s="476">
        <f t="shared" si="15"/>
        <v>591.39424575</v>
      </c>
      <c r="O42" s="505">
        <f t="shared" si="13"/>
        <v>54.230521751730976</v>
      </c>
      <c r="P42" s="506">
        <f>O42/M42*100-0.1</f>
        <v>9.995715575891298</v>
      </c>
      <c r="Q42" s="104">
        <f>N42+N21</f>
        <v>1129.3116371459996</v>
      </c>
    </row>
    <row r="43" spans="1:17" ht="29.25" customHeight="1">
      <c r="A43" s="488"/>
      <c r="B43" s="495" t="s">
        <v>172</v>
      </c>
      <c r="C43" s="563">
        <v>23894.716999999997</v>
      </c>
      <c r="D43" s="564">
        <f t="shared" si="9"/>
        <v>100</v>
      </c>
      <c r="E43" s="572">
        <f>E44*0.7</f>
        <v>26284.1887</v>
      </c>
      <c r="F43" s="565"/>
      <c r="G43" s="564">
        <v>26284.188700000002</v>
      </c>
      <c r="H43" s="564">
        <f t="shared" si="11"/>
        <v>100</v>
      </c>
      <c r="I43" s="566">
        <f t="shared" si="8"/>
        <v>2389.471700000002</v>
      </c>
      <c r="J43" s="502">
        <f t="shared" si="12"/>
        <v>10.000000000000009</v>
      </c>
      <c r="K43" s="446"/>
      <c r="L43" s="503"/>
      <c r="M43" s="477">
        <v>7168.415099999999</v>
      </c>
      <c r="N43" s="476">
        <f>N41+N42-0.01</f>
        <v>7885.248788553086</v>
      </c>
      <c r="O43" s="505">
        <f t="shared" si="13"/>
        <v>716.8336885530871</v>
      </c>
      <c r="P43" s="506">
        <f t="shared" si="14"/>
        <v>9.999890890150699</v>
      </c>
      <c r="Q43" s="104"/>
    </row>
    <row r="44" spans="1:16" ht="36" customHeight="1" thickBot="1">
      <c r="A44" s="496" t="s">
        <v>124</v>
      </c>
      <c r="B44" s="497" t="s">
        <v>137</v>
      </c>
      <c r="C44" s="498">
        <v>34135.31</v>
      </c>
      <c r="D44" s="499">
        <f>(D22+D43)/2</f>
        <v>100</v>
      </c>
      <c r="E44" s="500">
        <f>'Dist-exercise'!C82</f>
        <v>37548.841</v>
      </c>
      <c r="F44" s="500"/>
      <c r="G44" s="499">
        <v>37548.841</v>
      </c>
      <c r="H44" s="499">
        <f>(H22+H43)/2</f>
        <v>100</v>
      </c>
      <c r="I44" s="501">
        <f t="shared" si="8"/>
        <v>3413.5310000000027</v>
      </c>
      <c r="J44" s="502">
        <f t="shared" si="12"/>
        <v>10.000000000000009</v>
      </c>
      <c r="K44" s="446"/>
      <c r="L44" s="503"/>
      <c r="M44" s="479">
        <v>16384.9488</v>
      </c>
      <c r="N44" s="480">
        <f>N22+N43</f>
        <v>18023.435858553086</v>
      </c>
      <c r="O44" s="504">
        <f t="shared" si="13"/>
        <v>1638.487058553088</v>
      </c>
      <c r="P44" s="507">
        <f t="shared" si="14"/>
        <v>9.999952264440937</v>
      </c>
    </row>
    <row r="45" spans="1:16" ht="42" customHeight="1">
      <c r="A45" s="739" t="s">
        <v>287</v>
      </c>
      <c r="B45" s="739"/>
      <c r="C45" s="739"/>
      <c r="D45" s="739"/>
      <c r="E45" s="739"/>
      <c r="F45" s="739"/>
      <c r="G45" s="739"/>
      <c r="H45" s="739"/>
      <c r="I45" s="739"/>
      <c r="J45" s="739"/>
      <c r="K45" s="739"/>
      <c r="L45" s="739"/>
      <c r="M45" s="711"/>
      <c r="N45" s="711"/>
      <c r="O45" s="711"/>
      <c r="P45" s="711"/>
    </row>
    <row r="46" spans="1:16" ht="30" customHeight="1">
      <c r="A46" s="712" t="s">
        <v>286</v>
      </c>
      <c r="B46" s="712"/>
      <c r="C46" s="712"/>
      <c r="D46" s="712"/>
      <c r="E46" s="712"/>
      <c r="F46" s="712"/>
      <c r="G46" s="712"/>
      <c r="H46" s="712"/>
      <c r="I46" s="712"/>
      <c r="J46" s="712"/>
      <c r="K46" s="712"/>
      <c r="L46" s="712"/>
      <c r="M46" s="712"/>
      <c r="N46" s="712"/>
      <c r="O46" s="712"/>
      <c r="P46" s="712"/>
    </row>
    <row r="47" spans="1:16" ht="31.5" customHeight="1">
      <c r="A47" s="715"/>
      <c r="B47" s="715"/>
      <c r="C47" s="715"/>
      <c r="D47" s="715"/>
      <c r="E47" s="715"/>
      <c r="F47" s="715"/>
      <c r="G47" s="715"/>
      <c r="H47" s="715"/>
      <c r="I47" s="715"/>
      <c r="J47" s="715"/>
      <c r="K47" s="715"/>
      <c r="L47" s="715"/>
      <c r="M47" s="715"/>
      <c r="N47" s="715"/>
      <c r="O47" s="715"/>
      <c r="P47" s="715"/>
    </row>
    <row r="49" ht="15">
      <c r="E49" s="104">
        <f>E41+E42</f>
        <v>26284.195961843623</v>
      </c>
    </row>
  </sheetData>
  <mergeCells count="13">
    <mergeCell ref="A3:P3"/>
    <mergeCell ref="A45:P45"/>
    <mergeCell ref="A46:P46"/>
    <mergeCell ref="M6:N6"/>
    <mergeCell ref="C6:E6"/>
    <mergeCell ref="A47:P47"/>
    <mergeCell ref="O5:O6"/>
    <mergeCell ref="A4:G4"/>
    <mergeCell ref="A5:B6"/>
    <mergeCell ref="J5:J6"/>
    <mergeCell ref="I5:I6"/>
    <mergeCell ref="H5:H6"/>
    <mergeCell ref="P5:P6"/>
  </mergeCells>
  <printOptions/>
  <pageMargins left="0.64" right="0.5" top="0.61" bottom="0.78" header="0.23" footer="0.37"/>
  <pageSetup horizontalDpi="180" verticalDpi="180" orientation="portrait" paperSize="9" scale="55" r:id="rId1"/>
</worksheet>
</file>

<file path=xl/worksheets/sheet13.xml><?xml version="1.0" encoding="utf-8"?>
<worksheet xmlns="http://schemas.openxmlformats.org/spreadsheetml/2006/main" xmlns:r="http://schemas.openxmlformats.org/officeDocument/2006/relationships">
  <sheetPr codeName="Sheet20"/>
  <dimension ref="A1:AD96"/>
  <sheetViews>
    <sheetView view="pageBreakPreview" zoomScale="60" zoomScaleNormal="75" workbookViewId="0" topLeftCell="A1">
      <selection activeCell="P2" sqref="P2:AD2"/>
    </sheetView>
  </sheetViews>
  <sheetFormatPr defaultColWidth="9.00390625" defaultRowHeight="12.75"/>
  <cols>
    <col min="1" max="1" width="4.875" style="0" customWidth="1"/>
    <col min="2" max="2" width="27.625" style="0" customWidth="1"/>
    <col min="3" max="3" width="14.75390625" style="0" customWidth="1"/>
    <col min="4" max="17" width="10.625" style="0" customWidth="1"/>
    <col min="18" max="18" width="14.00390625" style="0" customWidth="1"/>
    <col min="19" max="26" width="10.625" style="0" customWidth="1"/>
    <col min="27" max="27" width="13.75390625" style="0" customWidth="1"/>
    <col min="28" max="28" width="15.625" style="0" hidden="1" customWidth="1"/>
    <col min="29" max="29" width="14.875" style="0" hidden="1" customWidth="1"/>
    <col min="30" max="30" width="16.375" style="0" customWidth="1"/>
  </cols>
  <sheetData>
    <row r="1" spans="1:27" ht="30.75" customHeight="1">
      <c r="A1" s="752"/>
      <c r="B1" s="752"/>
      <c r="C1" s="752"/>
      <c r="D1" s="752"/>
      <c r="E1" s="752"/>
      <c r="F1" s="752"/>
      <c r="G1" s="752"/>
      <c r="H1" s="752"/>
      <c r="I1" s="752"/>
      <c r="J1" s="752"/>
      <c r="Z1" s="15"/>
      <c r="AA1" s="15"/>
    </row>
    <row r="2" spans="1:30" ht="29.25" customHeight="1">
      <c r="A2" s="743" t="s">
        <v>118</v>
      </c>
      <c r="B2" s="743"/>
      <c r="C2" s="743"/>
      <c r="D2" s="743"/>
      <c r="E2" s="743"/>
      <c r="F2" s="743"/>
      <c r="G2" s="743"/>
      <c r="H2" s="743"/>
      <c r="I2" s="743"/>
      <c r="J2" s="743"/>
      <c r="K2" s="743"/>
      <c r="L2" s="743"/>
      <c r="M2" s="743"/>
      <c r="N2" s="743"/>
      <c r="O2" s="743"/>
      <c r="P2" s="743" t="s">
        <v>118</v>
      </c>
      <c r="Q2" s="743"/>
      <c r="R2" s="743"/>
      <c r="S2" s="743"/>
      <c r="T2" s="743"/>
      <c r="U2" s="743"/>
      <c r="V2" s="743"/>
      <c r="W2" s="743"/>
      <c r="X2" s="743"/>
      <c r="Y2" s="743"/>
      <c r="Z2" s="743"/>
      <c r="AA2" s="743"/>
      <c r="AB2" s="743"/>
      <c r="AC2" s="743"/>
      <c r="AD2" s="743"/>
    </row>
    <row r="3" spans="1:27" ht="37.5" customHeight="1">
      <c r="A3" s="600" t="s">
        <v>296</v>
      </c>
      <c r="B3" s="600"/>
      <c r="C3" s="600"/>
      <c r="D3" s="600"/>
      <c r="E3" s="600"/>
      <c r="F3" s="600"/>
      <c r="G3" s="600"/>
      <c r="H3" s="600"/>
      <c r="I3" s="600"/>
      <c r="J3" s="600"/>
      <c r="K3" s="600"/>
      <c r="L3" s="600"/>
      <c r="M3" s="600"/>
      <c r="N3" s="600"/>
      <c r="O3" s="600"/>
      <c r="P3" s="600" t="s">
        <v>296</v>
      </c>
      <c r="Z3" s="15"/>
      <c r="AA3" s="15"/>
    </row>
    <row r="4" spans="1:27" ht="42.75" customHeight="1">
      <c r="A4" s="753" t="s">
        <v>77</v>
      </c>
      <c r="B4" s="754"/>
      <c r="C4" s="759" t="s">
        <v>78</v>
      </c>
      <c r="D4" s="751" t="s">
        <v>79</v>
      </c>
      <c r="E4" s="751"/>
      <c r="F4" s="751"/>
      <c r="G4" s="751"/>
      <c r="H4" s="751"/>
      <c r="I4" s="751"/>
      <c r="J4" s="744" t="s">
        <v>80</v>
      </c>
      <c r="K4" s="745"/>
      <c r="L4" s="746"/>
      <c r="M4" s="744" t="s">
        <v>81</v>
      </c>
      <c r="N4" s="745"/>
      <c r="O4" s="746"/>
      <c r="P4" s="744" t="s">
        <v>127</v>
      </c>
      <c r="Q4" s="745"/>
      <c r="R4" s="746"/>
      <c r="S4" s="744" t="s">
        <v>83</v>
      </c>
      <c r="T4" s="745"/>
      <c r="U4" s="746"/>
      <c r="V4" s="744" t="s">
        <v>84</v>
      </c>
      <c r="W4" s="745"/>
      <c r="X4" s="746"/>
      <c r="Y4" s="744" t="s">
        <v>295</v>
      </c>
      <c r="Z4" s="745"/>
      <c r="AA4" s="746"/>
    </row>
    <row r="5" spans="1:27" ht="33.75" customHeight="1">
      <c r="A5" s="755"/>
      <c r="B5" s="756"/>
      <c r="C5" s="760"/>
      <c r="D5" s="751" t="s">
        <v>86</v>
      </c>
      <c r="E5" s="751"/>
      <c r="F5" s="751"/>
      <c r="G5" s="751" t="s">
        <v>87</v>
      </c>
      <c r="H5" s="751"/>
      <c r="I5" s="751"/>
      <c r="J5" s="747"/>
      <c r="K5" s="748"/>
      <c r="L5" s="749"/>
      <c r="M5" s="747"/>
      <c r="N5" s="748"/>
      <c r="O5" s="749"/>
      <c r="P5" s="747"/>
      <c r="Q5" s="748"/>
      <c r="R5" s="749"/>
      <c r="S5" s="747"/>
      <c r="T5" s="748"/>
      <c r="U5" s="749"/>
      <c r="V5" s="747"/>
      <c r="W5" s="748"/>
      <c r="X5" s="749"/>
      <c r="Y5" s="747"/>
      <c r="Z5" s="748"/>
      <c r="AA5" s="749"/>
    </row>
    <row r="6" spans="1:27" ht="17.25" customHeight="1" hidden="1">
      <c r="A6" s="755"/>
      <c r="B6" s="756"/>
      <c r="C6" s="126" t="s">
        <v>88</v>
      </c>
      <c r="D6" s="581" t="s">
        <v>89</v>
      </c>
      <c r="E6" s="581"/>
      <c r="F6" s="581" t="s">
        <v>291</v>
      </c>
      <c r="G6" s="123" t="s">
        <v>90</v>
      </c>
      <c r="H6" s="123"/>
      <c r="I6" s="123"/>
      <c r="J6" s="126" t="s">
        <v>91</v>
      </c>
      <c r="K6" s="126"/>
      <c r="L6" s="126"/>
      <c r="M6" s="126" t="s">
        <v>92</v>
      </c>
      <c r="N6" s="126"/>
      <c r="O6" s="126"/>
      <c r="P6" s="126" t="s">
        <v>93</v>
      </c>
      <c r="Q6" s="126"/>
      <c r="R6" s="126"/>
      <c r="S6" s="126" t="s">
        <v>93</v>
      </c>
      <c r="T6" s="126"/>
      <c r="U6" s="126"/>
      <c r="V6" s="126" t="s">
        <v>94</v>
      </c>
      <c r="W6" s="126"/>
      <c r="X6" s="126"/>
      <c r="Y6" s="126" t="s">
        <v>95</v>
      </c>
      <c r="Z6" s="137"/>
      <c r="AA6" s="137"/>
    </row>
    <row r="7" spans="1:30" ht="48.75" customHeight="1">
      <c r="A7" s="757"/>
      <c r="B7" s="758"/>
      <c r="C7" s="585"/>
      <c r="D7" s="586" t="s">
        <v>189</v>
      </c>
      <c r="E7" s="586" t="s">
        <v>224</v>
      </c>
      <c r="F7" s="598" t="s">
        <v>291</v>
      </c>
      <c r="G7" s="586" t="s">
        <v>189</v>
      </c>
      <c r="H7" s="586" t="s">
        <v>224</v>
      </c>
      <c r="I7" s="598" t="s">
        <v>291</v>
      </c>
      <c r="J7" s="586" t="s">
        <v>189</v>
      </c>
      <c r="K7" s="586" t="s">
        <v>224</v>
      </c>
      <c r="L7" s="598" t="s">
        <v>291</v>
      </c>
      <c r="M7" s="586" t="s">
        <v>189</v>
      </c>
      <c r="N7" s="586" t="s">
        <v>224</v>
      </c>
      <c r="O7" s="598" t="s">
        <v>291</v>
      </c>
      <c r="P7" s="586" t="s">
        <v>189</v>
      </c>
      <c r="Q7" s="586" t="s">
        <v>224</v>
      </c>
      <c r="R7" s="598" t="s">
        <v>291</v>
      </c>
      <c r="S7" s="586" t="s">
        <v>189</v>
      </c>
      <c r="T7" s="586" t="s">
        <v>224</v>
      </c>
      <c r="U7" s="598" t="s">
        <v>291</v>
      </c>
      <c r="V7" s="586" t="s">
        <v>189</v>
      </c>
      <c r="W7" s="586" t="s">
        <v>224</v>
      </c>
      <c r="X7" s="598" t="s">
        <v>291</v>
      </c>
      <c r="Y7" s="586" t="s">
        <v>189</v>
      </c>
      <c r="Z7" s="586" t="s">
        <v>224</v>
      </c>
      <c r="AA7" s="598" t="s">
        <v>291</v>
      </c>
      <c r="AB7" s="582" t="s">
        <v>292</v>
      </c>
      <c r="AC7" s="582" t="s">
        <v>293</v>
      </c>
      <c r="AD7" s="240"/>
    </row>
    <row r="8" spans="1:30" ht="27.75" customHeight="1">
      <c r="A8" s="583" t="s">
        <v>51</v>
      </c>
      <c r="B8" s="584"/>
      <c r="C8" s="585"/>
      <c r="D8" s="586"/>
      <c r="E8" s="586"/>
      <c r="F8" s="598"/>
      <c r="G8" s="586"/>
      <c r="H8" s="586"/>
      <c r="I8" s="598"/>
      <c r="J8" s="586"/>
      <c r="K8" s="586"/>
      <c r="L8" s="598"/>
      <c r="M8" s="586"/>
      <c r="N8" s="586"/>
      <c r="O8" s="598"/>
      <c r="P8" s="586"/>
      <c r="Q8" s="586"/>
      <c r="R8" s="598"/>
      <c r="S8" s="586"/>
      <c r="T8" s="586"/>
      <c r="U8" s="598"/>
      <c r="V8" s="586"/>
      <c r="W8" s="586"/>
      <c r="X8" s="598"/>
      <c r="Y8" s="586"/>
      <c r="Z8" s="586"/>
      <c r="AA8" s="598"/>
      <c r="AB8" s="599"/>
      <c r="AC8" s="599"/>
      <c r="AD8" s="240"/>
    </row>
    <row r="9" spans="1:30" ht="33.75" customHeight="1">
      <c r="A9" s="161">
        <v>1</v>
      </c>
      <c r="B9" s="587" t="s">
        <v>2</v>
      </c>
      <c r="C9" s="588">
        <f>'[8]Table-1-3'!D9</f>
        <v>8.51512357821923</v>
      </c>
      <c r="D9" s="588">
        <f>'[8]Table-1-3'!G62</f>
        <v>0</v>
      </c>
      <c r="E9" s="588">
        <v>0</v>
      </c>
      <c r="F9" s="591">
        <f aca="true" t="shared" si="0" ref="F9:F26">E9-D9</f>
        <v>0</v>
      </c>
      <c r="G9" s="588">
        <f>'[8]Table-1-3'!G89</f>
        <v>6.552710085830412</v>
      </c>
      <c r="H9" s="588">
        <v>6.34066811082534</v>
      </c>
      <c r="I9" s="591">
        <f aca="true" t="shared" si="1" ref="I9:I26">H9-G9</f>
        <v>-0.21204197500507238</v>
      </c>
      <c r="J9" s="588">
        <f>'[8]Table-4'!F33</f>
        <v>6.263780996315646</v>
      </c>
      <c r="K9" s="588">
        <v>6.059460759874817</v>
      </c>
      <c r="L9" s="591">
        <f aca="true" t="shared" si="2" ref="L9:L26">K9-J9</f>
        <v>-0.20432023644082875</v>
      </c>
      <c r="M9" s="588">
        <f>'[8]Table-5 '!H32</f>
        <v>4.750619619448644</v>
      </c>
      <c r="N9" s="588">
        <v>2.8800847364506765</v>
      </c>
      <c r="O9" s="591">
        <f aca="true" t="shared" si="3" ref="O9:O26">N9-M9</f>
        <v>-1.8705348829979673</v>
      </c>
      <c r="P9" s="588">
        <f>'[8]Tab-6'!H9</f>
        <v>6.236838551071078</v>
      </c>
      <c r="Q9" s="588">
        <v>6.236838551071078</v>
      </c>
      <c r="R9" s="591">
        <f aca="true" t="shared" si="4" ref="R9:R26">Q9-P9</f>
        <v>0</v>
      </c>
      <c r="S9" s="588">
        <f>'[8]Table-7(IMR)'!P9</f>
        <v>5.134180611092717</v>
      </c>
      <c r="T9" s="588">
        <v>7.158365369485413</v>
      </c>
      <c r="U9" s="591">
        <f aca="true" t="shared" si="5" ref="U9:U26">T9-S9</f>
        <v>2.024184758392696</v>
      </c>
      <c r="V9" s="588">
        <f>'[8]Table-8'!H6</f>
        <v>9.461846843954355</v>
      </c>
      <c r="W9" s="588">
        <v>9.714974844804885</v>
      </c>
      <c r="X9" s="591">
        <f aca="true" t="shared" si="6" ref="X9:X26">W9-V9</f>
        <v>0.25312800085053055</v>
      </c>
      <c r="Y9" s="588">
        <f>'[8]Table-9'!F8</f>
        <v>3.9007231965672955</v>
      </c>
      <c r="Z9" s="588">
        <v>3.798265223409316</v>
      </c>
      <c r="AA9" s="591">
        <f aca="true" t="shared" si="7" ref="AA9:AA26">Z9-Y9</f>
        <v>-0.10245797315797933</v>
      </c>
      <c r="AB9" s="589">
        <f aca="true" t="shared" si="8" ref="AB9:AB18">F9+I9+L9+O9+R9+U9+X9+AA9</f>
        <v>-0.11204230835862106</v>
      </c>
      <c r="AC9" s="589">
        <v>9.50663336687272</v>
      </c>
      <c r="AD9" s="590"/>
    </row>
    <row r="10" spans="1:30" ht="33.75" customHeight="1">
      <c r="A10" s="161">
        <v>2</v>
      </c>
      <c r="B10" s="587" t="s">
        <v>96</v>
      </c>
      <c r="C10" s="588">
        <f>'[8]Table-1-3'!D10</f>
        <v>8.245594461440895</v>
      </c>
      <c r="D10" s="588">
        <f>'[8]Table-1-3'!G63</f>
        <v>20.718674780656126</v>
      </c>
      <c r="E10" s="588">
        <v>21.218339693797343</v>
      </c>
      <c r="F10" s="591">
        <f t="shared" si="0"/>
        <v>0.49966491314121697</v>
      </c>
      <c r="G10" s="588">
        <f>'[8]Table-1-3'!G90</f>
        <v>16.15470133762878</v>
      </c>
      <c r="H10" s="588">
        <v>17.21771587212789</v>
      </c>
      <c r="I10" s="591">
        <f t="shared" si="1"/>
        <v>1.0630145344991107</v>
      </c>
      <c r="J10" s="588">
        <f>'[8]Table-4'!F34</f>
        <v>3.842947891623174</v>
      </c>
      <c r="K10" s="588">
        <v>3.977462107637817</v>
      </c>
      <c r="L10" s="591">
        <f t="shared" si="2"/>
        <v>0.13451421601464286</v>
      </c>
      <c r="M10" s="588">
        <f>'[8]Table-5 '!H33</f>
        <v>7.01682916944861</v>
      </c>
      <c r="N10" s="588">
        <v>3.8029988418483165</v>
      </c>
      <c r="O10" s="591">
        <f t="shared" si="3"/>
        <v>-3.2138303276002937</v>
      </c>
      <c r="P10" s="588">
        <f>'[8]Tab-6'!H10</f>
        <v>4.700905300350548</v>
      </c>
      <c r="Q10" s="588">
        <v>4.700905300350548</v>
      </c>
      <c r="R10" s="591">
        <f t="shared" si="4"/>
        <v>0</v>
      </c>
      <c r="S10" s="588">
        <f>'[8]Table-7(IMR)'!P10</f>
        <v>1.9659093803326286</v>
      </c>
      <c r="T10" s="588">
        <v>2.320334163295459</v>
      </c>
      <c r="U10" s="591">
        <f t="shared" si="5"/>
        <v>0.3544247829628302</v>
      </c>
      <c r="V10" s="588">
        <f>'[8]Table-8'!H7</f>
        <v>6.387638919804674</v>
      </c>
      <c r="W10" s="588">
        <v>6.302810409062417</v>
      </c>
      <c r="X10" s="591">
        <f t="shared" si="6"/>
        <v>-0.08482851074225728</v>
      </c>
      <c r="Y10" s="588">
        <f>'[8]Table-9'!F9</f>
        <v>0</v>
      </c>
      <c r="Z10" s="588">
        <v>0</v>
      </c>
      <c r="AA10" s="591">
        <f t="shared" si="7"/>
        <v>0</v>
      </c>
      <c r="AB10" s="589">
        <f t="shared" si="8"/>
        <v>-1.2470403917247503</v>
      </c>
      <c r="AC10" s="589">
        <v>11.248921891455032</v>
      </c>
      <c r="AD10" s="590"/>
    </row>
    <row r="11" spans="1:30" ht="33.75" customHeight="1">
      <c r="A11" s="161">
        <v>3</v>
      </c>
      <c r="B11" s="587" t="s">
        <v>138</v>
      </c>
      <c r="C11" s="588">
        <f>'[8]Table-1-3'!D11</f>
        <v>2.27798101747731</v>
      </c>
      <c r="D11" s="588">
        <f>'[8]Table-1-3'!G64</f>
        <v>3.8801322331581933</v>
      </c>
      <c r="E11" s="588">
        <v>3.6759075547468356</v>
      </c>
      <c r="F11" s="591">
        <f t="shared" si="0"/>
        <v>-0.20422467841135772</v>
      </c>
      <c r="G11" s="588">
        <f>'[8]Table-1-3'!G91</f>
        <v>3.0254047636145267</v>
      </c>
      <c r="H11" s="588">
        <v>2.9828314921520884</v>
      </c>
      <c r="I11" s="591">
        <f t="shared" si="1"/>
        <v>-0.04257327146243828</v>
      </c>
      <c r="J11" s="588">
        <f>'[8]Table-4'!F35</f>
        <v>5.9014720871799025</v>
      </c>
      <c r="K11" s="588">
        <v>5.900658459726874</v>
      </c>
      <c r="L11" s="591">
        <f t="shared" si="2"/>
        <v>-0.000813627453028154</v>
      </c>
      <c r="M11" s="588">
        <f>'[8]Table-5 '!H34</f>
        <v>3.2434608324906384</v>
      </c>
      <c r="N11" s="588">
        <v>7.540052323363796</v>
      </c>
      <c r="O11" s="591">
        <f t="shared" si="3"/>
        <v>4.296591490873158</v>
      </c>
      <c r="P11" s="588">
        <f>'[8]Tab-6'!H11</f>
        <v>8.004673391541505</v>
      </c>
      <c r="Q11" s="588">
        <v>8.004673391541505</v>
      </c>
      <c r="R11" s="591">
        <f t="shared" si="4"/>
        <v>0</v>
      </c>
      <c r="S11" s="588">
        <f>'[8]Table-7(IMR)'!P11</f>
        <v>5.401501838032414</v>
      </c>
      <c r="T11" s="588">
        <v>2.374767573219995</v>
      </c>
      <c r="U11" s="591">
        <f t="shared" si="5"/>
        <v>-3.026734264812419</v>
      </c>
      <c r="V11" s="588">
        <f>'[8]Table-8'!H8</f>
        <v>3.6978718987479273</v>
      </c>
      <c r="W11" s="588">
        <v>4.142873151344652</v>
      </c>
      <c r="X11" s="591">
        <f t="shared" si="6"/>
        <v>0.44500125259672485</v>
      </c>
      <c r="Y11" s="588">
        <f>'[8]Table-9'!F10</f>
        <v>0.44368042041473055</v>
      </c>
      <c r="Z11" s="588">
        <v>1.8416218731769445</v>
      </c>
      <c r="AA11" s="591">
        <f t="shared" si="7"/>
        <v>1.3979414527622138</v>
      </c>
      <c r="AB11" s="589">
        <f t="shared" si="8"/>
        <v>2.8651883540928544</v>
      </c>
      <c r="AC11" s="589">
        <v>9.307779462563976</v>
      </c>
      <c r="AD11" s="590"/>
    </row>
    <row r="12" spans="1:30" ht="33.75" customHeight="1">
      <c r="A12" s="161">
        <v>4</v>
      </c>
      <c r="B12" s="587" t="s">
        <v>5</v>
      </c>
      <c r="C12" s="588">
        <f>'[8]Table-1-3'!D12</f>
        <v>0.15561049225764403</v>
      </c>
      <c r="D12" s="588">
        <f>'[8]Table-1-3'!G65</f>
        <v>0</v>
      </c>
      <c r="E12" s="588">
        <v>0</v>
      </c>
      <c r="F12" s="591">
        <f t="shared" si="0"/>
        <v>0</v>
      </c>
      <c r="G12" s="588">
        <f>'[8]Table-1-3'!G92</f>
        <v>0.025513213980663002</v>
      </c>
      <c r="H12" s="588">
        <v>0.01269748346558374</v>
      </c>
      <c r="I12" s="591">
        <f t="shared" si="1"/>
        <v>-0.012815730515079261</v>
      </c>
      <c r="J12" s="588">
        <f>'[8]Table-4'!F36</f>
        <v>6.762492812722262</v>
      </c>
      <c r="K12" s="588">
        <v>6.348573225497316</v>
      </c>
      <c r="L12" s="591">
        <f t="shared" si="2"/>
        <v>-0.41391958722494593</v>
      </c>
      <c r="M12" s="588">
        <f>'[8]Table-5 '!H35</f>
        <v>2.465088519199705</v>
      </c>
      <c r="N12" s="588">
        <v>1.084091051917166</v>
      </c>
      <c r="O12" s="591">
        <f t="shared" si="3"/>
        <v>-1.3809974672825391</v>
      </c>
      <c r="P12" s="588">
        <f>'[8]Tab-6'!H12</f>
        <v>4.787071841871917</v>
      </c>
      <c r="Q12" s="588">
        <v>4.787071841871917</v>
      </c>
      <c r="R12" s="591">
        <f t="shared" si="4"/>
        <v>0</v>
      </c>
      <c r="S12" s="588">
        <f>'[8]Table-7(IMR)'!P12</f>
        <v>9.037134197590607</v>
      </c>
      <c r="T12" s="588">
        <v>9.659483702248615</v>
      </c>
      <c r="U12" s="591">
        <f t="shared" si="5"/>
        <v>0.6223495046580076</v>
      </c>
      <c r="V12" s="588">
        <f>'[8]Table-8'!H9</f>
        <v>0</v>
      </c>
      <c r="W12" s="588">
        <v>0</v>
      </c>
      <c r="X12" s="591">
        <f t="shared" si="6"/>
        <v>0</v>
      </c>
      <c r="Y12" s="588">
        <f>'[8]Table-9'!F11</f>
        <v>0</v>
      </c>
      <c r="Z12" s="588">
        <v>0</v>
      </c>
      <c r="AA12" s="591">
        <f t="shared" si="7"/>
        <v>0</v>
      </c>
      <c r="AB12" s="589">
        <f t="shared" si="8"/>
        <v>-1.1853832803645568</v>
      </c>
      <c r="AC12" s="589">
        <v>0</v>
      </c>
      <c r="AD12" s="590"/>
    </row>
    <row r="13" spans="1:30" ht="33.75" customHeight="1">
      <c r="A13" s="161">
        <v>5</v>
      </c>
      <c r="B13" s="587" t="s">
        <v>6</v>
      </c>
      <c r="C13" s="588">
        <f>'[8]Table-1-3'!D13</f>
        <v>5.2255764928331105</v>
      </c>
      <c r="D13" s="588">
        <f>'[8]Table-1-3'!G66</f>
        <v>0</v>
      </c>
      <c r="E13" s="588">
        <v>0</v>
      </c>
      <c r="F13" s="591">
        <f t="shared" si="0"/>
        <v>0</v>
      </c>
      <c r="G13" s="588">
        <f>'[8]Table-1-3'!G93</f>
        <v>2.8450897928762267</v>
      </c>
      <c r="H13" s="588">
        <v>2.182316672070448</v>
      </c>
      <c r="I13" s="591">
        <f t="shared" si="1"/>
        <v>-0.6627731208057788</v>
      </c>
      <c r="J13" s="588">
        <f>'[8]Table-4'!F37</f>
        <v>6.351717422881396</v>
      </c>
      <c r="K13" s="588">
        <v>6.067898070788689</v>
      </c>
      <c r="L13" s="591">
        <f t="shared" si="2"/>
        <v>-0.28381935209270726</v>
      </c>
      <c r="M13" s="588">
        <f>'[8]Table-5 '!H36</f>
        <v>2.168001998111951</v>
      </c>
      <c r="N13" s="588">
        <v>4.5792389759750955</v>
      </c>
      <c r="O13" s="591">
        <f t="shared" si="3"/>
        <v>2.4112369778631444</v>
      </c>
      <c r="P13" s="588">
        <f>'[8]Tab-6'!H13</f>
        <v>4.290721096574772</v>
      </c>
      <c r="Q13" s="588">
        <v>4.290721096574772</v>
      </c>
      <c r="R13" s="591">
        <f t="shared" si="4"/>
        <v>0</v>
      </c>
      <c r="S13" s="588">
        <f>'[8]Table-7(IMR)'!P13</f>
        <v>5.725067705812936</v>
      </c>
      <c r="T13" s="588">
        <v>5.785166765132079</v>
      </c>
      <c r="U13" s="591">
        <f t="shared" si="5"/>
        <v>0.06009905931914261</v>
      </c>
      <c r="V13" s="588">
        <f>'[8]Table-8'!H10</f>
        <v>4.609565398871069</v>
      </c>
      <c r="W13" s="588">
        <v>4.727425131002349</v>
      </c>
      <c r="X13" s="591">
        <f t="shared" si="6"/>
        <v>0.11785973213127932</v>
      </c>
      <c r="Y13" s="588">
        <f>'[8]Table-9'!F12</f>
        <v>5.848747165699913</v>
      </c>
      <c r="Z13" s="588">
        <v>11.646885209649657</v>
      </c>
      <c r="AA13" s="591">
        <f t="shared" si="7"/>
        <v>5.798138043949744</v>
      </c>
      <c r="AB13" s="589">
        <f t="shared" si="8"/>
        <v>7.440741340364824</v>
      </c>
      <c r="AC13" s="589">
        <v>13.810006721821965</v>
      </c>
      <c r="AD13" s="590"/>
    </row>
    <row r="14" spans="1:30" ht="33.75" customHeight="1">
      <c r="A14" s="161">
        <v>6</v>
      </c>
      <c r="B14" s="587" t="s">
        <v>7</v>
      </c>
      <c r="C14" s="588">
        <f>'[8]Table-1-3'!D14</f>
        <v>1.964606931811287</v>
      </c>
      <c r="D14" s="588">
        <f>'[8]Table-1-3'!G67</f>
        <v>0</v>
      </c>
      <c r="E14" s="588">
        <v>0</v>
      </c>
      <c r="F14" s="591">
        <f t="shared" si="0"/>
        <v>0</v>
      </c>
      <c r="G14" s="588">
        <f>'[8]Table-1-3'!G94</f>
        <v>0.4868234841989961</v>
      </c>
      <c r="H14" s="588">
        <v>0.2484682395504595</v>
      </c>
      <c r="I14" s="591">
        <f t="shared" si="1"/>
        <v>-0.23835524464853663</v>
      </c>
      <c r="J14" s="588">
        <f>'[8]Table-4'!F38</f>
        <v>7.425031804639288</v>
      </c>
      <c r="K14" s="588">
        <v>7.342303105849385</v>
      </c>
      <c r="L14" s="591">
        <f t="shared" si="2"/>
        <v>-0.08272869878990363</v>
      </c>
      <c r="M14" s="588">
        <f>'[8]Table-5 '!H37</f>
        <v>3.2639724989783</v>
      </c>
      <c r="N14" s="588">
        <v>3.205330165899631</v>
      </c>
      <c r="O14" s="591">
        <f t="shared" si="3"/>
        <v>-0.05864233307866895</v>
      </c>
      <c r="P14" s="588">
        <f>'[8]Tab-6'!H14</f>
        <v>5.430077624884673</v>
      </c>
      <c r="Q14" s="588">
        <v>5.430077624884673</v>
      </c>
      <c r="R14" s="591">
        <f t="shared" si="4"/>
        <v>0</v>
      </c>
      <c r="S14" s="588">
        <f>'[8]Table-7(IMR)'!P14</f>
        <v>3.4603188752769767</v>
      </c>
      <c r="T14" s="588">
        <v>5.442959509168521</v>
      </c>
      <c r="U14" s="591">
        <f t="shared" si="5"/>
        <v>1.982640633891544</v>
      </c>
      <c r="V14" s="588">
        <f>'[8]Table-8'!H11</f>
        <v>5.1377075274955075</v>
      </c>
      <c r="W14" s="588">
        <v>5.230715442853845</v>
      </c>
      <c r="X14" s="591">
        <f t="shared" si="6"/>
        <v>0.09300791535833763</v>
      </c>
      <c r="Y14" s="588">
        <f>'[8]Table-9'!F13</f>
        <v>13.357335080195956</v>
      </c>
      <c r="Z14" s="588">
        <v>6.539694443383566</v>
      </c>
      <c r="AA14" s="591">
        <f t="shared" si="7"/>
        <v>-6.817640636812389</v>
      </c>
      <c r="AB14" s="589">
        <f t="shared" si="8"/>
        <v>-5.121718364079617</v>
      </c>
      <c r="AC14" s="589">
        <v>8.538711582507577</v>
      </c>
      <c r="AD14" s="590"/>
    </row>
    <row r="15" spans="1:30" ht="33.75" customHeight="1">
      <c r="A15" s="161">
        <v>7</v>
      </c>
      <c r="B15" s="587" t="s">
        <v>139</v>
      </c>
      <c r="C15" s="588">
        <f>'[8]Table-1-3'!D15</f>
        <v>2.784742733772958</v>
      </c>
      <c r="D15" s="588">
        <f>'[8]Table-1-3'!G68</f>
        <v>5.294496890970483</v>
      </c>
      <c r="E15" s="588">
        <v>4.897164579385255</v>
      </c>
      <c r="F15" s="591">
        <f t="shared" si="0"/>
        <v>-0.3973323115852274</v>
      </c>
      <c r="G15" s="588">
        <f>'[8]Table-1-3'!G95</f>
        <v>4.128208821854177</v>
      </c>
      <c r="H15" s="588">
        <v>3.9738259224661343</v>
      </c>
      <c r="I15" s="591">
        <f t="shared" si="1"/>
        <v>-0.15438289938804228</v>
      </c>
      <c r="J15" s="588">
        <f>'[8]Table-4'!F39</f>
        <v>5.009387957444667</v>
      </c>
      <c r="K15" s="588">
        <v>4.2557708313535985</v>
      </c>
      <c r="L15" s="591">
        <f t="shared" si="2"/>
        <v>-0.7536171260910685</v>
      </c>
      <c r="M15" s="588">
        <f>'[8]Table-5 '!H38</f>
        <v>3.4738013180987215</v>
      </c>
      <c r="N15" s="588">
        <v>3.5326503075409845</v>
      </c>
      <c r="O15" s="591">
        <f t="shared" si="3"/>
        <v>0.05884898944226302</v>
      </c>
      <c r="P15" s="588">
        <f>'[8]Tab-6'!H15</f>
        <v>6.665334188665853</v>
      </c>
      <c r="Q15" s="588">
        <v>6.665334188665853</v>
      </c>
      <c r="R15" s="591">
        <f t="shared" si="4"/>
        <v>0</v>
      </c>
      <c r="S15" s="588">
        <f>'[8]Table-7(IMR)'!P15</f>
        <v>4.885324605863027</v>
      </c>
      <c r="T15" s="588">
        <v>4.137012288366216</v>
      </c>
      <c r="U15" s="591">
        <f t="shared" si="5"/>
        <v>-0.7483123174968114</v>
      </c>
      <c r="V15" s="588">
        <f>'[8]Table-8'!H12</f>
        <v>6.387638919804674</v>
      </c>
      <c r="W15" s="588">
        <v>2.8977308693818817</v>
      </c>
      <c r="X15" s="591">
        <f t="shared" si="6"/>
        <v>-3.4899080504227924</v>
      </c>
      <c r="Y15" s="588">
        <f>'[8]Table-9'!F14</f>
        <v>0.02877851211495101</v>
      </c>
      <c r="Z15" s="588">
        <v>0.7319214563361987</v>
      </c>
      <c r="AA15" s="591">
        <f t="shared" si="7"/>
        <v>0.7031429442212477</v>
      </c>
      <c r="AB15" s="589">
        <f t="shared" si="8"/>
        <v>-4.781560771320431</v>
      </c>
      <c r="AC15" s="589">
        <v>3.5162289843984547</v>
      </c>
      <c r="AD15" s="590"/>
    </row>
    <row r="16" spans="1:30" ht="33.75" customHeight="1">
      <c r="A16" s="161">
        <v>8</v>
      </c>
      <c r="B16" s="587" t="s">
        <v>8</v>
      </c>
      <c r="C16" s="588">
        <f>'[8]Table-1-3'!D16</f>
        <v>5.7348827832159905</v>
      </c>
      <c r="D16" s="588">
        <f>'[8]Table-1-3'!G69</f>
        <v>0</v>
      </c>
      <c r="E16" s="588">
        <v>0</v>
      </c>
      <c r="F16" s="591">
        <f t="shared" si="0"/>
        <v>0</v>
      </c>
      <c r="G16" s="588">
        <f>'[8]Table-1-3'!G96</f>
        <v>4.341852261250067</v>
      </c>
      <c r="H16" s="588">
        <v>4.00183258642612</v>
      </c>
      <c r="I16" s="591">
        <f t="shared" si="1"/>
        <v>-0.3400196748239468</v>
      </c>
      <c r="J16" s="588">
        <f>'[8]Table-4'!F40</f>
        <v>7.538955434684058</v>
      </c>
      <c r="K16" s="588">
        <v>7.792843396704503</v>
      </c>
      <c r="L16" s="591">
        <f t="shared" si="2"/>
        <v>0.2538879620204453</v>
      </c>
      <c r="M16" s="588">
        <f>'[8]Table-5 '!H39</f>
        <v>3.3053397304829852</v>
      </c>
      <c r="N16" s="588">
        <v>3.4960049179196937</v>
      </c>
      <c r="O16" s="591">
        <f t="shared" si="3"/>
        <v>0.19066518743670846</v>
      </c>
      <c r="P16" s="588">
        <f>'[8]Tab-6'!H16</f>
        <v>4.865224640952191</v>
      </c>
      <c r="Q16" s="588">
        <v>4.865224640952191</v>
      </c>
      <c r="R16" s="591">
        <f t="shared" si="4"/>
        <v>0</v>
      </c>
      <c r="S16" s="588">
        <f>'[8]Table-7(IMR)'!P16</f>
        <v>7.138400020375418</v>
      </c>
      <c r="T16" s="588">
        <v>7.289933929862222</v>
      </c>
      <c r="U16" s="591">
        <f t="shared" si="5"/>
        <v>0.15153390948680467</v>
      </c>
      <c r="V16" s="588">
        <f>'[8]Table-8'!H13</f>
        <v>3.267211661034223</v>
      </c>
      <c r="W16" s="588">
        <v>3.722149335397405</v>
      </c>
      <c r="X16" s="591">
        <f t="shared" si="6"/>
        <v>0.4549376743631819</v>
      </c>
      <c r="Y16" s="588">
        <f>'[8]Table-9'!F15</f>
        <v>7.406166281652649</v>
      </c>
      <c r="Z16" s="588">
        <v>9.938547937166819</v>
      </c>
      <c r="AA16" s="591">
        <f t="shared" si="7"/>
        <v>2.53238165551417</v>
      </c>
      <c r="AB16" s="589">
        <f t="shared" si="8"/>
        <v>3.2433867139973636</v>
      </c>
      <c r="AC16" s="589">
        <v>9.79681514651239</v>
      </c>
      <c r="AD16" s="590"/>
    </row>
    <row r="17" spans="1:30" ht="33.75" customHeight="1">
      <c r="A17" s="161">
        <v>9</v>
      </c>
      <c r="B17" s="587" t="s">
        <v>9</v>
      </c>
      <c r="C17" s="588">
        <f>'[8]Table-1-3'!D17</f>
        <v>4.1783863877030525</v>
      </c>
      <c r="D17" s="588">
        <f>'[8]Table-1-3'!G70</f>
        <v>0</v>
      </c>
      <c r="E17" s="588">
        <v>0</v>
      </c>
      <c r="F17" s="591">
        <f t="shared" si="0"/>
        <v>0</v>
      </c>
      <c r="G17" s="588">
        <f>'[8]Table-1-3'!G97</f>
        <v>1.5848449244988947</v>
      </c>
      <c r="H17" s="588">
        <v>1.344345797222789</v>
      </c>
      <c r="I17" s="591">
        <f t="shared" si="1"/>
        <v>-0.24049912727610567</v>
      </c>
      <c r="J17" s="588">
        <f>'[8]Table-4'!F41</f>
        <v>6.739156482665129</v>
      </c>
      <c r="K17" s="588">
        <v>6.843565700993912</v>
      </c>
      <c r="L17" s="591">
        <f t="shared" si="2"/>
        <v>0.10440921832878303</v>
      </c>
      <c r="M17" s="588">
        <f>'[8]Table-5 '!H40</f>
        <v>3.431455445774035</v>
      </c>
      <c r="N17" s="588">
        <v>2.256575122932002</v>
      </c>
      <c r="O17" s="591">
        <f t="shared" si="3"/>
        <v>-1.174880322842033</v>
      </c>
      <c r="P17" s="588">
        <f>'[8]Tab-6'!H17</f>
        <v>4.740389202309421</v>
      </c>
      <c r="Q17" s="588">
        <v>4.740389202309421</v>
      </c>
      <c r="R17" s="591">
        <f t="shared" si="4"/>
        <v>0</v>
      </c>
      <c r="S17" s="588">
        <f>'[8]Table-7(IMR)'!P17</f>
        <v>9.037134197590607</v>
      </c>
      <c r="T17" s="588">
        <v>9.659483702248615</v>
      </c>
      <c r="U17" s="591">
        <f t="shared" si="5"/>
        <v>0.6223495046580076</v>
      </c>
      <c r="V17" s="588">
        <f>'[8]Table-8'!H14</f>
        <v>2.7221301965988323</v>
      </c>
      <c r="W17" s="588">
        <v>2.783299983408809</v>
      </c>
      <c r="X17" s="591">
        <f t="shared" si="6"/>
        <v>0.061169786809976756</v>
      </c>
      <c r="Y17" s="588">
        <f>'[8]Table-9'!F16</f>
        <v>7.962661602300883</v>
      </c>
      <c r="Z17" s="588">
        <v>6.231391364136786</v>
      </c>
      <c r="AA17" s="591">
        <f t="shared" si="7"/>
        <v>-1.7312702381640968</v>
      </c>
      <c r="AB17" s="589">
        <f t="shared" si="8"/>
        <v>-2.3587211784854683</v>
      </c>
      <c r="AC17" s="589">
        <v>7.491575052693386</v>
      </c>
      <c r="AD17" s="590"/>
    </row>
    <row r="18" spans="1:30" ht="33.75" customHeight="1">
      <c r="A18" s="161">
        <v>10</v>
      </c>
      <c r="B18" s="587" t="s">
        <v>10</v>
      </c>
      <c r="C18" s="588">
        <f>'[8]Table-1-3'!D18</f>
        <v>5.875225830950243</v>
      </c>
      <c r="D18" s="588">
        <f>'[8]Table-1-3'!G71</f>
        <v>10.375122464202107</v>
      </c>
      <c r="E18" s="588">
        <v>10.518054543798062</v>
      </c>
      <c r="F18" s="591">
        <f t="shared" si="0"/>
        <v>0.14293207959595478</v>
      </c>
      <c r="G18" s="588">
        <f>'[8]Table-1-3'!G98</f>
        <v>8.089658558036419</v>
      </c>
      <c r="H18" s="588">
        <v>8.534922019162412</v>
      </c>
      <c r="I18" s="591">
        <f t="shared" si="1"/>
        <v>0.44526346112599313</v>
      </c>
      <c r="J18" s="588">
        <f>'[8]Table-4'!F42</f>
        <v>5.397030824968912</v>
      </c>
      <c r="K18" s="588">
        <v>5.748873071794735</v>
      </c>
      <c r="L18" s="591">
        <f t="shared" si="2"/>
        <v>0.3518422468258233</v>
      </c>
      <c r="M18" s="588">
        <f>'[8]Table-5 '!H41</f>
        <v>5.288698723619059</v>
      </c>
      <c r="N18" s="588">
        <v>5.04891151457479</v>
      </c>
      <c r="O18" s="591">
        <f t="shared" si="3"/>
        <v>-0.23978720904426876</v>
      </c>
      <c r="P18" s="588">
        <f>'[8]Tab-6'!H18</f>
        <v>7.56483828178058</v>
      </c>
      <c r="Q18" s="588">
        <v>7.56483828178058</v>
      </c>
      <c r="R18" s="591">
        <f t="shared" si="4"/>
        <v>0</v>
      </c>
      <c r="S18" s="588">
        <f>'[8]Table-7(IMR)'!P18</f>
        <v>1.674604589562691</v>
      </c>
      <c r="T18" s="588">
        <v>1.5315677959538039</v>
      </c>
      <c r="U18" s="591">
        <f t="shared" si="5"/>
        <v>-0.1430367936088872</v>
      </c>
      <c r="V18" s="588">
        <f>'[8]Table-8'!H15</f>
        <v>3.9748196639727524</v>
      </c>
      <c r="W18" s="588">
        <v>4.076451230957931</v>
      </c>
      <c r="X18" s="591">
        <f t="shared" si="6"/>
        <v>0.10163156698517817</v>
      </c>
      <c r="Y18" s="588">
        <f>'[8]Table-9'!F17</f>
        <v>9.154584884893957</v>
      </c>
      <c r="Z18" s="588">
        <v>9.870802967178399</v>
      </c>
      <c r="AA18" s="591">
        <f t="shared" si="7"/>
        <v>0.716218082284442</v>
      </c>
      <c r="AB18" s="589">
        <f t="shared" si="8"/>
        <v>1.3750634341642354</v>
      </c>
      <c r="AC18" s="589">
        <v>10.495229169830923</v>
      </c>
      <c r="AD18" s="590"/>
    </row>
    <row r="19" spans="1:30" ht="33.75" customHeight="1">
      <c r="A19" s="161">
        <v>11</v>
      </c>
      <c r="B19" s="587" t="s">
        <v>11</v>
      </c>
      <c r="C19" s="588">
        <f>'[8]Table-1-3'!D19</f>
        <v>9.86746683734887</v>
      </c>
      <c r="D19" s="588">
        <f>'[8]Table-1-3'!G72</f>
        <v>0</v>
      </c>
      <c r="E19" s="588">
        <v>0</v>
      </c>
      <c r="F19" s="591">
        <f t="shared" si="0"/>
        <v>0</v>
      </c>
      <c r="G19" s="588">
        <f>'[8]Table-1-3'!G99</f>
        <v>1.6178265952115516</v>
      </c>
      <c r="H19" s="588">
        <v>0.805164196813846</v>
      </c>
      <c r="I19" s="591">
        <f t="shared" si="1"/>
        <v>-0.8126623983977056</v>
      </c>
      <c r="J19" s="588">
        <f>'[8]Table-4'!F43</f>
        <v>6.464784874875779</v>
      </c>
      <c r="K19" s="588">
        <v>6.46759000562152</v>
      </c>
      <c r="L19" s="591">
        <f t="shared" si="2"/>
        <v>0.002805130745740847</v>
      </c>
      <c r="M19" s="588">
        <f>'[8]Table-5 '!H42</f>
        <v>0.0456320378115334</v>
      </c>
      <c r="N19" s="588">
        <v>1.5065939148895842</v>
      </c>
      <c r="O19" s="591">
        <f t="shared" si="3"/>
        <v>1.4609618770780508</v>
      </c>
      <c r="P19" s="588">
        <f>'[8]Tab-6'!H19</f>
        <v>5.391002045161661</v>
      </c>
      <c r="Q19" s="588">
        <v>5.391002045161661</v>
      </c>
      <c r="R19" s="591">
        <f t="shared" si="4"/>
        <v>0</v>
      </c>
      <c r="S19" s="588">
        <f>'[8]Table-7(IMR)'!P19</f>
        <v>9.037134197590607</v>
      </c>
      <c r="T19" s="588">
        <v>9.659483702248615</v>
      </c>
      <c r="U19" s="591">
        <f t="shared" si="5"/>
        <v>0.6223495046580076</v>
      </c>
      <c r="V19" s="588">
        <f>'[8]Table-8'!H16</f>
        <v>10.174581101546647</v>
      </c>
      <c r="W19" s="588">
        <v>10.580959011259488</v>
      </c>
      <c r="X19" s="591">
        <f t="shared" si="6"/>
        <v>0.40637790971284105</v>
      </c>
      <c r="Y19" s="588">
        <f>'[8]Table-9'!F18</f>
        <v>7.239412719171304</v>
      </c>
      <c r="Z19" s="588">
        <v>12.244581921586871</v>
      </c>
      <c r="AA19" s="591">
        <f t="shared" si="7"/>
        <v>5.005169202415567</v>
      </c>
      <c r="AB19" s="589" t="s">
        <v>294</v>
      </c>
      <c r="AC19" s="589">
        <v>10.562333734000068</v>
      </c>
      <c r="AD19" s="590"/>
    </row>
    <row r="20" spans="1:30" ht="33.75" customHeight="1">
      <c r="A20" s="161">
        <v>12</v>
      </c>
      <c r="B20" s="587" t="s">
        <v>97</v>
      </c>
      <c r="C20" s="588">
        <f>'[8]Table-1-3'!D20</f>
        <v>4.2954367957157205</v>
      </c>
      <c r="D20" s="588">
        <f>'[8]Table-1-3'!G73</f>
        <v>7.987742587955579</v>
      </c>
      <c r="E20" s="588">
        <v>7.64608126628792</v>
      </c>
      <c r="F20" s="591">
        <f t="shared" si="0"/>
        <v>-0.34166132166765895</v>
      </c>
      <c r="G20" s="588">
        <f>'[8]Table-1-3'!G100</f>
        <v>6.228178068162807</v>
      </c>
      <c r="H20" s="588">
        <v>6.204446562641719</v>
      </c>
      <c r="I20" s="591">
        <f t="shared" si="1"/>
        <v>-0.023731505521087826</v>
      </c>
      <c r="J20" s="588">
        <f>'[8]Table-4'!F44</f>
        <v>4.682638685483543</v>
      </c>
      <c r="K20" s="588">
        <v>4.775510979993626</v>
      </c>
      <c r="L20" s="591">
        <f t="shared" si="2"/>
        <v>0.09287229451008372</v>
      </c>
      <c r="M20" s="591">
        <f>'[8]Table-5 '!H43</f>
        <v>50.563465342754746</v>
      </c>
      <c r="N20" s="588">
        <v>48.76045479437578</v>
      </c>
      <c r="O20" s="591">
        <f t="shared" si="3"/>
        <v>-1.803010548378964</v>
      </c>
      <c r="P20" s="588">
        <f>'[8]Tab-6'!H20</f>
        <v>5.680167898259811</v>
      </c>
      <c r="Q20" s="588">
        <v>5.680167898259811</v>
      </c>
      <c r="R20" s="591">
        <f t="shared" si="4"/>
        <v>0</v>
      </c>
      <c r="S20" s="588">
        <f>'[8]Table-7(IMR)'!P20</f>
        <v>4.228748015519276</v>
      </c>
      <c r="T20" s="588">
        <v>4.2069890355295465</v>
      </c>
      <c r="U20" s="591">
        <f t="shared" si="5"/>
        <v>-0.021758979989729532</v>
      </c>
      <c r="V20" s="588">
        <f>'[8]Table-8'!H17</f>
        <v>5.390010363096479</v>
      </c>
      <c r="W20" s="588">
        <v>5.379542941033502</v>
      </c>
      <c r="X20" s="591">
        <f t="shared" si="6"/>
        <v>-0.010467422062977683</v>
      </c>
      <c r="Y20" s="588">
        <f>'[8]Table-9'!F19</f>
        <v>9.477575484902518</v>
      </c>
      <c r="Z20" s="588">
        <v>1.3001238473233223</v>
      </c>
      <c r="AA20" s="591">
        <f t="shared" si="7"/>
        <v>-8.177451637579196</v>
      </c>
      <c r="AB20" s="589">
        <f aca="true" t="shared" si="9" ref="AB20:AB26">F20+I20+L20+O20+R20+U20+X20+AA20</f>
        <v>-10.28520912068953</v>
      </c>
      <c r="AC20" s="589">
        <v>8.495826214985149</v>
      </c>
      <c r="AD20" s="590"/>
    </row>
    <row r="21" spans="1:30" ht="33.75" customHeight="1">
      <c r="A21" s="161">
        <v>13</v>
      </c>
      <c r="B21" s="587" t="s">
        <v>13</v>
      </c>
      <c r="C21" s="588">
        <f>'[8]Table-1-3'!D21</f>
        <v>2.652424881236898</v>
      </c>
      <c r="D21" s="588">
        <f>'[8]Table-1-3'!G74</f>
        <v>0</v>
      </c>
      <c r="E21" s="588">
        <v>0</v>
      </c>
      <c r="F21" s="591">
        <f t="shared" si="0"/>
        <v>0</v>
      </c>
      <c r="G21" s="588">
        <f>'[8]Table-1-3'!G101</f>
        <v>0.43487995302133875</v>
      </c>
      <c r="H21" s="588">
        <v>0.21643219929827076</v>
      </c>
      <c r="I21" s="591">
        <f t="shared" si="1"/>
        <v>-0.218447753723068</v>
      </c>
      <c r="J21" s="588">
        <f>'[8]Table-4'!F45</f>
        <v>5.807476954968549</v>
      </c>
      <c r="K21" s="588">
        <v>6.001176696422274</v>
      </c>
      <c r="L21" s="591">
        <f t="shared" si="2"/>
        <v>0.1936997414537247</v>
      </c>
      <c r="M21" s="588">
        <f>'[8]Table-5 '!H44</f>
        <v>0.11549956259344499</v>
      </c>
      <c r="N21" s="588">
        <v>0.15230718222453843</v>
      </c>
      <c r="O21" s="591">
        <f t="shared" si="3"/>
        <v>0.03680761963109344</v>
      </c>
      <c r="P21" s="588">
        <f>'[8]Tab-6'!H21</f>
        <v>5.037185866344505</v>
      </c>
      <c r="Q21" s="588">
        <v>5.037185866344505</v>
      </c>
      <c r="R21" s="591">
        <f t="shared" si="4"/>
        <v>0</v>
      </c>
      <c r="S21" s="588">
        <f>'[8]Table-7(IMR)'!P21</f>
        <v>7.876796644847991</v>
      </c>
      <c r="T21" s="588">
        <v>8.60561953363035</v>
      </c>
      <c r="U21" s="591">
        <f t="shared" si="5"/>
        <v>0.7288228887823589</v>
      </c>
      <c r="V21" s="588">
        <f>'[8]Table-8'!H18</f>
        <v>3.989717355277438</v>
      </c>
      <c r="W21" s="588">
        <v>4.1229237490822275</v>
      </c>
      <c r="X21" s="591">
        <f t="shared" si="6"/>
        <v>0.1332063938047896</v>
      </c>
      <c r="Y21" s="588">
        <f>'[8]Table-9'!F20</f>
        <v>8.995835014133412</v>
      </c>
      <c r="Z21" s="588">
        <v>2.782310108054758</v>
      </c>
      <c r="AA21" s="591">
        <f t="shared" si="7"/>
        <v>-6.213524906078654</v>
      </c>
      <c r="AB21" s="589">
        <f t="shared" si="9"/>
        <v>-5.339436016129755</v>
      </c>
      <c r="AC21" s="589">
        <v>8.461250061119442</v>
      </c>
      <c r="AD21" s="590"/>
    </row>
    <row r="22" spans="1:30" ht="33.75" customHeight="1">
      <c r="A22" s="161">
        <v>14</v>
      </c>
      <c r="B22" s="587" t="s">
        <v>14</v>
      </c>
      <c r="C22" s="588">
        <f>'[8]Table-1-3'!D22</f>
        <v>5.043345840893656</v>
      </c>
      <c r="D22" s="588">
        <f>'[8]Table-1-3'!G75</f>
        <v>8.246681312135934</v>
      </c>
      <c r="E22" s="588">
        <v>8.28326922771782</v>
      </c>
      <c r="F22" s="591">
        <f t="shared" si="0"/>
        <v>0.036587915581886676</v>
      </c>
      <c r="G22" s="588">
        <f>'[8]Table-1-3'!G102</f>
        <v>6.430076973289007</v>
      </c>
      <c r="H22" s="588">
        <v>6.721495560601134</v>
      </c>
      <c r="I22" s="591">
        <f t="shared" si="1"/>
        <v>0.2914185873121271</v>
      </c>
      <c r="J22" s="588">
        <f>'[8]Table-4'!F46</f>
        <v>5.740656568113598</v>
      </c>
      <c r="K22" s="588">
        <v>5.907368253584605</v>
      </c>
      <c r="L22" s="591">
        <f t="shared" si="2"/>
        <v>0.16671168547100645</v>
      </c>
      <c r="M22" s="588">
        <f>'[8]Table-5 '!H45</f>
        <v>2.6453331357964913</v>
      </c>
      <c r="N22" s="588">
        <v>3.3926819977210787</v>
      </c>
      <c r="O22" s="591">
        <f t="shared" si="3"/>
        <v>0.7473488619245874</v>
      </c>
      <c r="P22" s="588">
        <f>'[8]Tab-6'!H22</f>
        <v>9.88545170080078</v>
      </c>
      <c r="Q22" s="588">
        <v>9.88545170080078</v>
      </c>
      <c r="R22" s="591">
        <f t="shared" si="4"/>
        <v>0</v>
      </c>
      <c r="S22" s="588">
        <f>'[8]Table-7(IMR)'!P22</f>
        <v>5.086531849323791</v>
      </c>
      <c r="T22" s="588">
        <v>1.847848336793526</v>
      </c>
      <c r="U22" s="591">
        <f t="shared" si="5"/>
        <v>-3.238683512530265</v>
      </c>
      <c r="V22" s="588">
        <f>'[8]Table-8'!H19</f>
        <v>8.130761614141768</v>
      </c>
      <c r="W22" s="588">
        <v>8.447434367482611</v>
      </c>
      <c r="X22" s="591">
        <f t="shared" si="6"/>
        <v>0.31667275334084266</v>
      </c>
      <c r="Y22" s="588">
        <f>'[8]Table-9'!F21</f>
        <v>8.147496256670909</v>
      </c>
      <c r="Z22" s="588">
        <v>8.244021713248447</v>
      </c>
      <c r="AA22" s="591">
        <f t="shared" si="7"/>
        <v>0.0965254565775382</v>
      </c>
      <c r="AB22" s="589">
        <f t="shared" si="9"/>
        <v>-1.5834182523222764</v>
      </c>
      <c r="AC22" s="589">
        <v>8.96484970842955</v>
      </c>
      <c r="AD22" s="590"/>
    </row>
    <row r="23" spans="1:30" ht="33.75" customHeight="1">
      <c r="A23" s="161">
        <v>15</v>
      </c>
      <c r="B23" s="587" t="s">
        <v>15</v>
      </c>
      <c r="C23" s="588">
        <f>'[8]Table-1-3'!D23</f>
        <v>8.064146755374436</v>
      </c>
      <c r="D23" s="588">
        <f>'[8]Table-1-3'!G76</f>
        <v>0</v>
      </c>
      <c r="E23" s="588">
        <v>0</v>
      </c>
      <c r="F23" s="591">
        <f t="shared" si="0"/>
        <v>0</v>
      </c>
      <c r="G23" s="588">
        <f>'[8]Table-1-3'!G103</f>
        <v>4.138767442137731</v>
      </c>
      <c r="H23" s="588">
        <v>3.702631099994455</v>
      </c>
      <c r="I23" s="591">
        <f t="shared" si="1"/>
        <v>-0.43613634214327623</v>
      </c>
      <c r="J23" s="588">
        <f>'[8]Table-4'!F47</f>
        <v>7.444064631459055</v>
      </c>
      <c r="K23" s="588">
        <v>7.557802592875315</v>
      </c>
      <c r="L23" s="591">
        <f t="shared" si="2"/>
        <v>0.11373796141625991</v>
      </c>
      <c r="M23" s="588">
        <f>'[8]Table-5 '!H46</f>
        <v>4.022668373593252</v>
      </c>
      <c r="N23" s="588">
        <v>2.1114636670613667</v>
      </c>
      <c r="O23" s="591">
        <f t="shared" si="3"/>
        <v>-1.9112047065318851</v>
      </c>
      <c r="P23" s="588">
        <f>'[8]Tab-6'!H23</f>
        <v>5.082431705040026</v>
      </c>
      <c r="Q23" s="588">
        <v>5.082431705040026</v>
      </c>
      <c r="R23" s="591">
        <f t="shared" si="4"/>
        <v>0</v>
      </c>
      <c r="S23" s="588">
        <f>'[8]Table-7(IMR)'!P23</f>
        <v>9.037134197590607</v>
      </c>
      <c r="T23" s="588">
        <v>9.659483702248615</v>
      </c>
      <c r="U23" s="591">
        <f t="shared" si="5"/>
        <v>0.6223495046580076</v>
      </c>
      <c r="V23" s="588">
        <f>'[8]Table-8'!H20</f>
        <v>5.855494768298066</v>
      </c>
      <c r="W23" s="588">
        <v>6.02136756657717</v>
      </c>
      <c r="X23" s="591">
        <f t="shared" si="6"/>
        <v>0.1658727982791035</v>
      </c>
      <c r="Y23" s="588">
        <f>'[8]Table-9'!F22</f>
        <v>2.9708287849684845</v>
      </c>
      <c r="Z23" s="588">
        <v>10.08989187614555</v>
      </c>
      <c r="AA23" s="591">
        <f t="shared" si="7"/>
        <v>7.1190630911770665</v>
      </c>
      <c r="AB23" s="589">
        <f t="shared" si="9"/>
        <v>5.673682306855277</v>
      </c>
      <c r="AC23" s="589">
        <v>9.97735862651195</v>
      </c>
      <c r="AD23" s="590"/>
    </row>
    <row r="24" spans="1:30" ht="33.75" customHeight="1">
      <c r="A24" s="161">
        <v>16</v>
      </c>
      <c r="B24" s="587" t="s">
        <v>16</v>
      </c>
      <c r="C24" s="588">
        <f>'[8]Table-1-3'!D24</f>
        <v>16.445973798716366</v>
      </c>
      <c r="D24" s="588">
        <f>'[8]Table-1-3'!G77</f>
        <v>32.684141349163184</v>
      </c>
      <c r="E24" s="588">
        <v>33.21229625196561</v>
      </c>
      <c r="F24" s="591">
        <f t="shared" si="0"/>
        <v>0.5281549028024273</v>
      </c>
      <c r="G24" s="588">
        <f>'[8]Table-1-3'!G104</f>
        <v>25.48437810634207</v>
      </c>
      <c r="H24" s="588">
        <v>26.95026512816388</v>
      </c>
      <c r="I24" s="591">
        <f t="shared" si="1"/>
        <v>1.4658870218218105</v>
      </c>
      <c r="J24" s="588">
        <f>'[8]Table-4'!F48</f>
        <v>4.786473139842936</v>
      </c>
      <c r="K24" s="588">
        <v>4.992313275038228</v>
      </c>
      <c r="L24" s="591">
        <f t="shared" si="2"/>
        <v>0.20584013519529165</v>
      </c>
      <c r="M24" s="588">
        <f>'[8]Table-5 '!H47</f>
        <v>4.084634129204461</v>
      </c>
      <c r="N24" s="588">
        <v>6.504820689969295</v>
      </c>
      <c r="O24" s="591">
        <f t="shared" si="3"/>
        <v>2.420186560764834</v>
      </c>
      <c r="P24" s="588">
        <f>'[8]Tab-6'!H24</f>
        <v>6.643358236923769</v>
      </c>
      <c r="Q24" s="588">
        <v>6.643358236923769</v>
      </c>
      <c r="R24" s="591">
        <f t="shared" si="4"/>
        <v>0</v>
      </c>
      <c r="S24" s="588">
        <f>'[8]Table-7(IMR)'!P24</f>
        <v>2.2369448760070973</v>
      </c>
      <c r="T24" s="588">
        <v>1.0033328739235672</v>
      </c>
      <c r="U24" s="591">
        <f t="shared" si="5"/>
        <v>-1.2336120020835302</v>
      </c>
      <c r="V24" s="588">
        <f>'[8]Table-8'!H21</f>
        <v>5.813773744381858</v>
      </c>
      <c r="W24" s="588">
        <v>5.997285487869945</v>
      </c>
      <c r="X24" s="591">
        <f t="shared" si="6"/>
        <v>0.1835117434880873</v>
      </c>
      <c r="Y24" s="588">
        <f>'[8]Table-9'!F23</f>
        <v>4.701767719444516</v>
      </c>
      <c r="Z24" s="588">
        <v>5.863847493030551</v>
      </c>
      <c r="AA24" s="591">
        <f t="shared" si="7"/>
        <v>1.1620797735860355</v>
      </c>
      <c r="AB24" s="589">
        <f t="shared" si="9"/>
        <v>4.732048135574956</v>
      </c>
      <c r="AC24" s="589">
        <v>11.444352071659116</v>
      </c>
      <c r="AD24" s="590"/>
    </row>
    <row r="25" spans="1:30" ht="33.75" customHeight="1">
      <c r="A25" s="161">
        <v>17</v>
      </c>
      <c r="B25" s="587" t="s">
        <v>17</v>
      </c>
      <c r="C25" s="588">
        <f>'[8]Table-1-3'!D25</f>
        <v>8.673474381032355</v>
      </c>
      <c r="D25" s="588">
        <f>'[8]Table-1-3'!G78</f>
        <v>10.81300838175839</v>
      </c>
      <c r="E25" s="588">
        <v>10.548886882301153</v>
      </c>
      <c r="F25" s="591">
        <f t="shared" si="0"/>
        <v>-0.2641214994572376</v>
      </c>
      <c r="G25" s="588">
        <f>'[8]Table-1-3'!G105</f>
        <v>8.43108561806633</v>
      </c>
      <c r="H25" s="588">
        <v>8.559941057017419</v>
      </c>
      <c r="I25" s="591">
        <f t="shared" si="1"/>
        <v>0.12885543895108853</v>
      </c>
      <c r="J25" s="588">
        <f>'[8]Table-4'!F49</f>
        <v>3.8419314301321026</v>
      </c>
      <c r="K25" s="588">
        <v>3.960829466242789</v>
      </c>
      <c r="L25" s="591">
        <f t="shared" si="2"/>
        <v>0.11889803611068661</v>
      </c>
      <c r="M25" s="588">
        <f>'[8]Table-5 '!H48</f>
        <v>0.11549956259344499</v>
      </c>
      <c r="N25" s="588">
        <v>0.14902348878036895</v>
      </c>
      <c r="O25" s="591">
        <f t="shared" si="3"/>
        <v>0.03352392618692396</v>
      </c>
      <c r="P25" s="588">
        <f>'[8]Tab-6'!H25</f>
        <v>4.994328427466895</v>
      </c>
      <c r="Q25" s="588">
        <v>4.994328427466895</v>
      </c>
      <c r="R25" s="591">
        <f t="shared" si="4"/>
        <v>0</v>
      </c>
      <c r="S25" s="588">
        <f>'[8]Table-7(IMR)'!P25</f>
        <v>9.037134197590607</v>
      </c>
      <c r="T25" s="588">
        <v>9.658168016644849</v>
      </c>
      <c r="U25" s="591">
        <f t="shared" si="5"/>
        <v>0.6210338190542419</v>
      </c>
      <c r="V25" s="588">
        <f>'[8]Table-8'!H22</f>
        <v>14.999230022973727</v>
      </c>
      <c r="W25" s="588">
        <v>15.852056478480883</v>
      </c>
      <c r="X25" s="591">
        <f t="shared" si="6"/>
        <v>0.8528264555071559</v>
      </c>
      <c r="Y25" s="588">
        <f>'[8]Table-9'!F24</f>
        <v>10.364406876868513</v>
      </c>
      <c r="Z25" s="588">
        <v>8.876092566172817</v>
      </c>
      <c r="AA25" s="591">
        <f t="shared" si="7"/>
        <v>-1.4883143106956958</v>
      </c>
      <c r="AB25" s="589">
        <f t="shared" si="9"/>
        <v>0.0027018656571635713</v>
      </c>
      <c r="AC25" s="589">
        <v>10.043553250421473</v>
      </c>
      <c r="AD25" s="590"/>
    </row>
    <row r="26" spans="1:30" ht="33.75" customHeight="1">
      <c r="A26" s="161"/>
      <c r="B26" s="587" t="s">
        <v>28</v>
      </c>
      <c r="C26" s="591">
        <f>SUM(C9:C25)</f>
        <v>100.00000000000001</v>
      </c>
      <c r="D26" s="591">
        <v>100</v>
      </c>
      <c r="E26" s="591">
        <v>100</v>
      </c>
      <c r="F26" s="591">
        <f t="shared" si="0"/>
        <v>0</v>
      </c>
      <c r="G26" s="591">
        <v>100</v>
      </c>
      <c r="H26" s="591">
        <v>100</v>
      </c>
      <c r="I26" s="591">
        <f t="shared" si="1"/>
        <v>0</v>
      </c>
      <c r="J26" s="591">
        <v>100</v>
      </c>
      <c r="K26" s="591">
        <v>100</v>
      </c>
      <c r="L26" s="591">
        <f t="shared" si="2"/>
        <v>0</v>
      </c>
      <c r="M26" s="591">
        <v>100</v>
      </c>
      <c r="N26" s="588">
        <v>100</v>
      </c>
      <c r="O26" s="591">
        <f t="shared" si="3"/>
        <v>0</v>
      </c>
      <c r="P26" s="591">
        <f>SUM(P9:P25)</f>
        <v>100</v>
      </c>
      <c r="Q26" s="591">
        <v>100</v>
      </c>
      <c r="R26" s="591">
        <f t="shared" si="4"/>
        <v>0</v>
      </c>
      <c r="S26" s="591">
        <f>SUM(S9:S25)</f>
        <v>99.99999999999997</v>
      </c>
      <c r="T26" s="591">
        <v>100</v>
      </c>
      <c r="U26" s="591">
        <f t="shared" si="5"/>
        <v>0</v>
      </c>
      <c r="V26" s="591">
        <f>SUM(V9:V25)</f>
        <v>100.00000000000003</v>
      </c>
      <c r="W26" s="591">
        <v>100</v>
      </c>
      <c r="X26" s="591">
        <f t="shared" si="6"/>
        <v>0</v>
      </c>
      <c r="Y26" s="591">
        <v>100</v>
      </c>
      <c r="Z26" s="591">
        <v>100</v>
      </c>
      <c r="AA26" s="591">
        <f t="shared" si="7"/>
        <v>0</v>
      </c>
      <c r="AB26" s="589">
        <f t="shared" si="9"/>
        <v>0</v>
      </c>
      <c r="AC26" s="240"/>
      <c r="AD26" s="590"/>
    </row>
    <row r="27" spans="1:30" ht="25.5" customHeight="1">
      <c r="A27" s="592"/>
      <c r="B27" s="593"/>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5"/>
      <c r="AA27" s="596"/>
      <c r="AB27" s="240"/>
      <c r="AC27" s="240"/>
      <c r="AD27" s="240"/>
    </row>
    <row r="28" spans="1:30" ht="21.75" customHeight="1">
      <c r="A28" s="750"/>
      <c r="B28" s="750"/>
      <c r="C28" s="750"/>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597"/>
      <c r="AB28" s="240"/>
      <c r="AC28" s="240"/>
      <c r="AD28" s="240"/>
    </row>
    <row r="29" spans="1:30" ht="12">
      <c r="A29" s="240"/>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row>
    <row r="30" spans="1:30" ht="12">
      <c r="A30" s="240"/>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row>
    <row r="31" spans="1:30" ht="12">
      <c r="A31" s="240"/>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row>
    <row r="32" spans="1:30" ht="12">
      <c r="A32" s="240"/>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row>
    <row r="33" spans="1:30" ht="12">
      <c r="A33" s="240"/>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row>
    <row r="34" spans="1:30" ht="12">
      <c r="A34" s="240"/>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row>
    <row r="35" spans="1:30" ht="12">
      <c r="A35" s="240"/>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row>
    <row r="36" spans="1:30" ht="12">
      <c r="A36" s="24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row>
    <row r="37" spans="1:30" ht="12">
      <c r="A37" s="240"/>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row>
    <row r="38" spans="1:30" ht="12">
      <c r="A38" s="240"/>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row>
    <row r="39" spans="1:30" ht="12">
      <c r="A39" s="240"/>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row>
    <row r="40" spans="1:30" ht="12">
      <c r="A40" s="240"/>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row>
    <row r="41" spans="1:30" ht="12">
      <c r="A41" s="240"/>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row>
    <row r="42" spans="1:30" ht="12">
      <c r="A42" s="240"/>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row>
    <row r="43" spans="1:30" ht="12">
      <c r="A43" s="240"/>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row>
    <row r="44" spans="1:30" ht="12">
      <c r="A44" s="240"/>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row>
    <row r="45" spans="1:30" ht="12">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row>
    <row r="46" spans="1:30" ht="12">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row>
    <row r="47" spans="1:30" ht="12">
      <c r="A47" s="240"/>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row>
    <row r="48" spans="1:30" ht="12">
      <c r="A48" s="240"/>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row>
    <row r="49" spans="1:30" ht="12">
      <c r="A49" s="240"/>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row>
    <row r="50" spans="1:30" ht="12">
      <c r="A50" s="240"/>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row>
    <row r="51" spans="1:30" ht="12">
      <c r="A51" s="240"/>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row>
    <row r="52" spans="1:30" ht="12">
      <c r="A52" s="240"/>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row>
    <row r="53" spans="1:30" ht="12">
      <c r="A53" s="240"/>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row>
    <row r="54" spans="1:30" ht="12">
      <c r="A54" s="240"/>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row>
    <row r="55" spans="1:30" ht="12">
      <c r="A55" s="240"/>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row>
    <row r="56" spans="1:30" ht="12">
      <c r="A56" s="240"/>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row>
    <row r="57" spans="1:30" ht="12">
      <c r="A57" s="240"/>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row>
    <row r="58" spans="1:30" ht="12">
      <c r="A58" s="240"/>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row>
    <row r="59" spans="1:30" ht="12">
      <c r="A59" s="240"/>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row>
    <row r="60" spans="1:30" ht="12">
      <c r="A60" s="240"/>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row>
    <row r="61" spans="1:30" ht="12">
      <c r="A61" s="240"/>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row>
    <row r="62" spans="1:30" ht="12">
      <c r="A62" s="240"/>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row>
    <row r="63" spans="1:30" ht="12">
      <c r="A63" s="240"/>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row>
    <row r="64" spans="1:30" ht="12">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row>
    <row r="65" spans="1:30" ht="12">
      <c r="A65" s="240"/>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row>
    <row r="66" spans="1:30" ht="12">
      <c r="A66" s="240"/>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row>
    <row r="67" spans="1:30" ht="12">
      <c r="A67" s="240"/>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row>
    <row r="68" spans="1:30" ht="12">
      <c r="A68" s="240"/>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row>
    <row r="69" spans="1:30" ht="12">
      <c r="A69" s="240"/>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row>
    <row r="70" spans="1:30" ht="12">
      <c r="A70" s="240"/>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row>
    <row r="71" spans="1:30" ht="12">
      <c r="A71" s="240"/>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row>
    <row r="72" spans="1:30" ht="12">
      <c r="A72" s="240"/>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row>
    <row r="73" spans="1:30" ht="12">
      <c r="A73" s="240"/>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row>
    <row r="74" spans="1:30" ht="12">
      <c r="A74" s="240"/>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row>
    <row r="75" spans="1:30" ht="12">
      <c r="A75" s="240"/>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row>
    <row r="76" spans="1:30" ht="12">
      <c r="A76" s="240"/>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row>
    <row r="77" spans="1:30" ht="12">
      <c r="A77" s="240"/>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row>
    <row r="78" spans="1:30" ht="12">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row>
    <row r="79" spans="1:30" ht="12">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row>
    <row r="80" spans="1:30" ht="12">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row>
    <row r="81" spans="1:30" ht="12">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row>
    <row r="82" spans="1:30" ht="12">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row>
    <row r="83" spans="1:30" ht="12">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row>
    <row r="84" spans="1:30" ht="12">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row>
    <row r="85" spans="1:30" ht="12">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row>
    <row r="86" spans="1:30" ht="12">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row>
    <row r="87" spans="1:30" ht="12">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row>
    <row r="88" spans="1:30" ht="12">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row>
    <row r="89" spans="1:30" ht="12">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row>
    <row r="90" spans="1:30" ht="12">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row>
    <row r="91" spans="1:30" ht="12">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row>
    <row r="92" spans="1:30" ht="12">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row>
    <row r="93" spans="1:30" ht="12">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row>
    <row r="94" spans="1:30" ht="12">
      <c r="A94" s="240"/>
      <c r="B94" s="240"/>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row>
    <row r="95" spans="1:30" ht="12">
      <c r="A95" s="240"/>
      <c r="B95" s="240"/>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row>
    <row r="96" spans="1:30" ht="12">
      <c r="A96" s="240"/>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row>
  </sheetData>
  <mergeCells count="15">
    <mergeCell ref="A1:J1"/>
    <mergeCell ref="D4:I4"/>
    <mergeCell ref="A4:B7"/>
    <mergeCell ref="C4:C5"/>
    <mergeCell ref="J4:L5"/>
    <mergeCell ref="A2:O2"/>
    <mergeCell ref="A28:Z28"/>
    <mergeCell ref="M4:O5"/>
    <mergeCell ref="P4:R5"/>
    <mergeCell ref="D5:F5"/>
    <mergeCell ref="G5:I5"/>
    <mergeCell ref="P2:AD2"/>
    <mergeCell ref="S4:U5"/>
    <mergeCell ref="V4:X5"/>
    <mergeCell ref="Y4:AA5"/>
  </mergeCells>
  <printOptions gridLines="1"/>
  <pageMargins left="1.01" right="1.39" top="1" bottom="0.51" header="0.46" footer="0.51"/>
  <pageSetup horizontalDpi="180" verticalDpi="180" orientation="landscape" paperSize="9" scale="53" r:id="rId1"/>
  <rowBreaks count="1" manualBreakCount="1">
    <brk id="26" max="15" man="1"/>
  </rowBreaks>
  <colBreaks count="1" manualBreakCount="1">
    <brk id="15" max="24" man="1"/>
  </colBreaks>
</worksheet>
</file>

<file path=xl/worksheets/sheet14.xml><?xml version="1.0" encoding="utf-8"?>
<worksheet xmlns="http://schemas.openxmlformats.org/spreadsheetml/2006/main" xmlns:r="http://schemas.openxmlformats.org/officeDocument/2006/relationships">
  <sheetPr codeName="Sheet16"/>
  <dimension ref="A1:F8"/>
  <sheetViews>
    <sheetView view="pageBreakPreview" zoomScale="60" workbookViewId="0" topLeftCell="A1">
      <selection activeCell="E4" sqref="E4"/>
    </sheetView>
  </sheetViews>
  <sheetFormatPr defaultColWidth="9.00390625" defaultRowHeight="12.75"/>
  <cols>
    <col min="1" max="1" width="5.50390625" style="0" customWidth="1"/>
    <col min="2" max="2" width="29.625" style="0" customWidth="1"/>
    <col min="3" max="3" width="24.75390625" style="0" customWidth="1"/>
    <col min="4" max="4" width="20.50390625" style="0" customWidth="1"/>
    <col min="5" max="5" width="20.625" style="0" customWidth="1"/>
  </cols>
  <sheetData>
    <row r="1" spans="1:3" ht="23.25" customHeight="1">
      <c r="A1" s="761" t="s">
        <v>180</v>
      </c>
      <c r="B1" s="761"/>
      <c r="C1" s="192" t="s">
        <v>126</v>
      </c>
    </row>
    <row r="2" spans="1:3" ht="23.25" customHeight="1">
      <c r="A2" s="186"/>
      <c r="B2" s="186"/>
      <c r="C2" s="192"/>
    </row>
    <row r="3" spans="1:4" ht="46.5" customHeight="1">
      <c r="A3" s="193"/>
      <c r="B3" s="193"/>
      <c r="C3" s="189" t="s">
        <v>184</v>
      </c>
      <c r="D3" s="189" t="s">
        <v>189</v>
      </c>
    </row>
    <row r="4" spans="1:6" ht="44.25" customHeight="1">
      <c r="A4" s="194" t="s">
        <v>121</v>
      </c>
      <c r="B4" s="196" t="s">
        <v>175</v>
      </c>
      <c r="C4" s="190">
        <f>28211+28211*0.1</f>
        <v>31032.1</v>
      </c>
      <c r="D4" s="190">
        <f>31032.1*1.1</f>
        <v>34135.31</v>
      </c>
      <c r="E4" s="440">
        <f>'Dist-exercise'!C82</f>
        <v>37548.841</v>
      </c>
      <c r="F4" s="183"/>
    </row>
    <row r="5" spans="1:5" ht="54" customHeight="1">
      <c r="A5" s="194" t="s">
        <v>122</v>
      </c>
      <c r="B5" s="187" t="s">
        <v>182</v>
      </c>
      <c r="C5" s="190">
        <f>C4*70/100</f>
        <v>21722.47</v>
      </c>
      <c r="D5" s="190">
        <f>D4*70/100</f>
        <v>23894.716999999997</v>
      </c>
      <c r="E5" s="190">
        <f>'Dist-exercise'!C83</f>
        <v>26284.1887</v>
      </c>
    </row>
    <row r="6" spans="1:5" ht="32.25" customHeight="1">
      <c r="A6" s="193"/>
      <c r="B6" s="188">
        <v>0.925</v>
      </c>
      <c r="C6" s="191">
        <f>C5*92.5/100</f>
        <v>20093.284750000003</v>
      </c>
      <c r="D6" s="191">
        <f>D5*92.5/100</f>
        <v>22102.613224999997</v>
      </c>
      <c r="E6" s="190">
        <f>'Dist-exercise'!C84</f>
        <v>24312.8745475</v>
      </c>
    </row>
    <row r="7" spans="1:5" ht="30.75" customHeight="1">
      <c r="A7" s="193"/>
      <c r="B7" s="188">
        <v>0.075</v>
      </c>
      <c r="C7" s="191">
        <f>C5*7.5/100</f>
        <v>1629.1852500000002</v>
      </c>
      <c r="D7" s="191">
        <f>D5*7.5/100</f>
        <v>1792.1037749999998</v>
      </c>
      <c r="E7" s="190">
        <f>'Dist-exercise'!C85</f>
        <v>1971.3141524999999</v>
      </c>
    </row>
    <row r="8" spans="1:5" ht="54.75" customHeight="1">
      <c r="A8" s="195" t="s">
        <v>124</v>
      </c>
      <c r="B8" s="187" t="s">
        <v>183</v>
      </c>
      <c r="C8" s="190">
        <f>C4*30/100</f>
        <v>9309.63</v>
      </c>
      <c r="D8" s="190">
        <f>D4*30/100</f>
        <v>10240.592999999999</v>
      </c>
      <c r="E8" s="190">
        <f>'Dist-exercise'!C86</f>
        <v>11264.6523</v>
      </c>
    </row>
  </sheetData>
  <mergeCells count="1">
    <mergeCell ref="A1:B1"/>
  </mergeCells>
  <printOptions/>
  <pageMargins left="0.75" right="0.75" top="1" bottom="1" header="0.5" footer="0.5"/>
  <pageSetup horizontalDpi="180" verticalDpi="180" orientation="portrait" paperSize="9" scale="105" r:id="rId1"/>
</worksheet>
</file>

<file path=xl/worksheets/sheet2.xml><?xml version="1.0" encoding="utf-8"?>
<worksheet xmlns="http://schemas.openxmlformats.org/spreadsheetml/2006/main" xmlns:r="http://schemas.openxmlformats.org/officeDocument/2006/relationships">
  <sheetPr codeName="Sheet2">
    <tabColor indexed="17"/>
  </sheetPr>
  <dimension ref="A1:AD218"/>
  <sheetViews>
    <sheetView view="pageBreakPreview" zoomScale="75" zoomScaleNormal="75" zoomScaleSheetLayoutView="75" workbookViewId="0" topLeftCell="A1">
      <selection activeCell="I34" sqref="I34"/>
    </sheetView>
  </sheetViews>
  <sheetFormatPr defaultColWidth="9.00390625" defaultRowHeight="12.75"/>
  <cols>
    <col min="1" max="1" width="5.75390625" style="3" customWidth="1"/>
    <col min="2" max="2" width="25.25390625" style="3" customWidth="1"/>
    <col min="3" max="3" width="18.375" style="3" customWidth="1"/>
    <col min="4" max="4" width="18.125" style="3" customWidth="1"/>
    <col min="5" max="5" width="12.875" style="3" customWidth="1"/>
    <col min="6" max="6" width="14.875" style="3" customWidth="1"/>
    <col min="7" max="7" width="10.375" style="3" customWidth="1"/>
    <col min="8" max="8" width="9.625" style="3" customWidth="1"/>
    <col min="9" max="9" width="12.625" style="3" customWidth="1"/>
    <col min="10" max="11" width="12.375" style="3" customWidth="1"/>
    <col min="12" max="12" width="13.125" style="3" customWidth="1"/>
    <col min="13" max="13" width="16.125" style="3" customWidth="1"/>
    <col min="14" max="14" width="14.25390625" style="3" customWidth="1"/>
    <col min="15" max="16384" width="9.00390625" style="3" customWidth="1"/>
  </cols>
  <sheetData>
    <row r="1" spans="1:8" ht="12.75">
      <c r="A1" s="1"/>
      <c r="B1" s="1"/>
      <c r="C1" s="1"/>
      <c r="D1" s="1"/>
      <c r="G1" s="236"/>
      <c r="H1" s="235"/>
    </row>
    <row r="2" ht="24" customHeight="1"/>
    <row r="3" spans="1:12" ht="61.5" customHeight="1">
      <c r="A3" s="638" t="s">
        <v>215</v>
      </c>
      <c r="B3" s="638"/>
      <c r="C3" s="638"/>
      <c r="D3" s="638"/>
      <c r="E3" s="638"/>
      <c r="G3" s="20"/>
      <c r="H3" s="20"/>
      <c r="I3" s="20"/>
      <c r="J3" s="20"/>
      <c r="K3" s="20"/>
      <c r="L3" s="20"/>
    </row>
    <row r="4" spans="1:12" ht="32.25" customHeight="1">
      <c r="A4" s="648" t="s">
        <v>224</v>
      </c>
      <c r="B4" s="648"/>
      <c r="C4" s="648"/>
      <c r="D4" s="648"/>
      <c r="E4" s="648"/>
      <c r="G4" s="20"/>
      <c r="H4" s="20"/>
      <c r="I4" s="20"/>
      <c r="J4" s="20"/>
      <c r="K4" s="20"/>
      <c r="L4" s="20"/>
    </row>
    <row r="5" spans="1:12" ht="24" customHeight="1">
      <c r="A5" s="631" t="s">
        <v>67</v>
      </c>
      <c r="B5" s="631"/>
      <c r="C5" s="631"/>
      <c r="D5" s="631"/>
      <c r="E5" s="15"/>
      <c r="G5" s="20"/>
      <c r="H5" s="20"/>
      <c r="I5" s="20"/>
      <c r="J5" s="20"/>
      <c r="K5" s="20"/>
      <c r="L5" s="20"/>
    </row>
    <row r="6" spans="1:12" ht="23.25" customHeight="1">
      <c r="A6" s="645" t="s">
        <v>290</v>
      </c>
      <c r="B6" s="645"/>
      <c r="C6" s="645"/>
      <c r="D6" s="645"/>
      <c r="E6" s="15"/>
      <c r="G6" s="392"/>
      <c r="H6" s="20"/>
      <c r="I6" s="20"/>
      <c r="J6" s="20"/>
      <c r="K6" s="20"/>
      <c r="L6" s="20"/>
    </row>
    <row r="7" spans="1:12" ht="12.75" customHeight="1">
      <c r="A7" s="110"/>
      <c r="B7" s="110"/>
      <c r="C7" s="110"/>
      <c r="D7" s="110"/>
      <c r="E7" s="110"/>
      <c r="G7" s="20"/>
      <c r="H7" s="20"/>
      <c r="I7" s="20"/>
      <c r="J7" s="20"/>
      <c r="K7" s="20"/>
      <c r="L7" s="20"/>
    </row>
    <row r="8" spans="1:12" ht="34.5" customHeight="1">
      <c r="A8" s="646" t="s">
        <v>51</v>
      </c>
      <c r="B8" s="647" t="s">
        <v>0</v>
      </c>
      <c r="C8" s="576" t="s">
        <v>151</v>
      </c>
      <c r="D8" s="579" t="s">
        <v>43</v>
      </c>
      <c r="E8" s="110"/>
      <c r="G8" s="20"/>
      <c r="H8" s="20"/>
      <c r="I8" s="20"/>
      <c r="J8" s="20"/>
      <c r="K8" s="20"/>
      <c r="L8" s="20"/>
    </row>
    <row r="9" spans="1:12" ht="21.75" customHeight="1">
      <c r="A9" s="646"/>
      <c r="B9" s="647"/>
      <c r="C9" s="577" t="s">
        <v>152</v>
      </c>
      <c r="D9" s="580"/>
      <c r="E9" s="111"/>
      <c r="F9" s="21" t="s">
        <v>4</v>
      </c>
      <c r="G9" s="20"/>
      <c r="H9" s="20"/>
      <c r="I9" s="20"/>
      <c r="J9" s="20"/>
      <c r="K9" s="20"/>
      <c r="L9" s="20"/>
    </row>
    <row r="10" spans="1:12" ht="24.75" customHeight="1">
      <c r="A10" s="128">
        <v>1</v>
      </c>
      <c r="B10" s="122" t="s">
        <v>2</v>
      </c>
      <c r="C10" s="575">
        <v>435.03</v>
      </c>
      <c r="D10" s="578">
        <f aca="true" t="shared" si="0" ref="D10:D26">C10/$C$27*100</f>
        <v>8.51512357821923</v>
      </c>
      <c r="E10" s="22"/>
      <c r="F10" s="20"/>
      <c r="G10" s="20"/>
      <c r="H10" s="20"/>
      <c r="I10" s="20"/>
      <c r="J10" s="20"/>
      <c r="K10" s="20"/>
      <c r="L10" s="20"/>
    </row>
    <row r="11" spans="1:12" ht="24.75" customHeight="1">
      <c r="A11" s="128">
        <v>2</v>
      </c>
      <c r="B11" s="122" t="s">
        <v>3</v>
      </c>
      <c r="C11" s="123">
        <v>421.26</v>
      </c>
      <c r="D11" s="138">
        <f t="shared" si="0"/>
        <v>8.245594461440895</v>
      </c>
      <c r="E11" s="22"/>
      <c r="F11" s="20"/>
      <c r="G11" s="20"/>
      <c r="H11" s="20"/>
      <c r="I11" s="20"/>
      <c r="J11" s="20"/>
      <c r="K11" s="20"/>
      <c r="L11" s="20"/>
    </row>
    <row r="12" spans="1:12" ht="24.75" customHeight="1">
      <c r="A12" s="128">
        <v>3</v>
      </c>
      <c r="B12" s="122" t="s">
        <v>138</v>
      </c>
      <c r="C12" s="123">
        <v>116.38</v>
      </c>
      <c r="D12" s="138">
        <f t="shared" si="0"/>
        <v>2.27798101747731</v>
      </c>
      <c r="E12" s="22"/>
      <c r="F12" s="20"/>
      <c r="G12" s="20"/>
      <c r="H12" s="20"/>
      <c r="I12" s="20"/>
      <c r="J12" s="20"/>
      <c r="K12" s="20"/>
      <c r="L12" s="20"/>
    </row>
    <row r="13" spans="1:12" ht="24.75" customHeight="1">
      <c r="A13" s="128">
        <v>4</v>
      </c>
      <c r="B13" s="122" t="s">
        <v>5</v>
      </c>
      <c r="C13" s="123">
        <v>7.95</v>
      </c>
      <c r="D13" s="138">
        <f t="shared" si="0"/>
        <v>0.15561049225764403</v>
      </c>
      <c r="E13" s="22"/>
      <c r="F13" s="20"/>
      <c r="G13" s="20"/>
      <c r="H13" s="20"/>
      <c r="I13" s="20"/>
      <c r="J13" s="20"/>
      <c r="K13" s="20"/>
      <c r="L13" s="20"/>
    </row>
    <row r="14" spans="1:12" ht="24.75" customHeight="1">
      <c r="A14" s="128">
        <v>5</v>
      </c>
      <c r="B14" s="122" t="s">
        <v>6</v>
      </c>
      <c r="C14" s="123">
        <v>266.97</v>
      </c>
      <c r="D14" s="138">
        <f t="shared" si="0"/>
        <v>5.2255764928331105</v>
      </c>
      <c r="E14" s="22"/>
      <c r="F14" s="20"/>
      <c r="G14" s="20"/>
      <c r="H14" s="20"/>
      <c r="I14" s="20"/>
      <c r="J14" s="20"/>
      <c r="K14" s="20"/>
      <c r="L14" s="20"/>
    </row>
    <row r="15" spans="1:12" ht="24.75" customHeight="1">
      <c r="A15" s="128">
        <v>6</v>
      </c>
      <c r="B15" s="122" t="s">
        <v>7</v>
      </c>
      <c r="C15" s="123">
        <v>100.37</v>
      </c>
      <c r="D15" s="138">
        <f t="shared" si="0"/>
        <v>1.964606931811287</v>
      </c>
      <c r="E15" s="22"/>
      <c r="F15" s="20"/>
      <c r="G15" s="20"/>
      <c r="H15" s="20"/>
      <c r="I15" s="20"/>
      <c r="J15" s="20"/>
      <c r="K15" s="20"/>
      <c r="L15" s="20"/>
    </row>
    <row r="16" spans="1:12" ht="24.75" customHeight="1">
      <c r="A16" s="128">
        <v>7</v>
      </c>
      <c r="B16" s="122" t="s">
        <v>139</v>
      </c>
      <c r="C16" s="123">
        <v>142.27</v>
      </c>
      <c r="D16" s="138">
        <f t="shared" si="0"/>
        <v>2.784742733772958</v>
      </c>
      <c r="E16" s="22"/>
      <c r="F16" s="20"/>
      <c r="G16" s="20"/>
      <c r="H16" s="20"/>
      <c r="I16" s="20"/>
      <c r="J16" s="20"/>
      <c r="K16" s="20"/>
      <c r="L16" s="20"/>
    </row>
    <row r="17" spans="1:12" ht="24.75" customHeight="1">
      <c r="A17" s="128">
        <v>8</v>
      </c>
      <c r="B17" s="122" t="s">
        <v>8</v>
      </c>
      <c r="C17" s="123">
        <v>292.99</v>
      </c>
      <c r="D17" s="138">
        <f t="shared" si="0"/>
        <v>5.7348827832159905</v>
      </c>
      <c r="E17" s="22"/>
      <c r="F17" s="20"/>
      <c r="G17" s="20"/>
      <c r="H17" s="20"/>
      <c r="I17" s="20"/>
      <c r="J17" s="20"/>
      <c r="K17" s="20"/>
      <c r="L17" s="20"/>
    </row>
    <row r="18" spans="1:12" ht="24.75" customHeight="1">
      <c r="A18" s="128">
        <v>9</v>
      </c>
      <c r="B18" s="122" t="s">
        <v>9</v>
      </c>
      <c r="C18" s="123">
        <v>213.47</v>
      </c>
      <c r="D18" s="138">
        <f t="shared" si="0"/>
        <v>4.1783863877030525</v>
      </c>
      <c r="E18" s="22"/>
      <c r="F18" s="20"/>
      <c r="G18" s="20"/>
      <c r="H18" s="202"/>
      <c r="I18" s="20"/>
      <c r="J18" s="20"/>
      <c r="K18" s="20"/>
      <c r="L18" s="20"/>
    </row>
    <row r="19" spans="1:12" ht="24.75" customHeight="1">
      <c r="A19" s="128">
        <v>10</v>
      </c>
      <c r="B19" s="122" t="s">
        <v>10</v>
      </c>
      <c r="C19" s="123">
        <v>300.16</v>
      </c>
      <c r="D19" s="138">
        <f t="shared" si="0"/>
        <v>5.875225830950243</v>
      </c>
      <c r="E19" s="22"/>
      <c r="F19" s="20"/>
      <c r="G19" s="20"/>
      <c r="H19" s="202"/>
      <c r="I19" s="20"/>
      <c r="J19" s="20"/>
      <c r="K19" s="20"/>
      <c r="L19" s="20"/>
    </row>
    <row r="20" spans="1:12" ht="24.75" customHeight="1">
      <c r="A20" s="128">
        <v>11</v>
      </c>
      <c r="B20" s="122" t="s">
        <v>11</v>
      </c>
      <c r="C20" s="123">
        <v>504.12</v>
      </c>
      <c r="D20" s="138">
        <f t="shared" si="0"/>
        <v>9.86746683734887</v>
      </c>
      <c r="E20" s="22"/>
      <c r="F20" s="20"/>
      <c r="G20" s="20"/>
      <c r="H20" s="203"/>
      <c r="I20" s="20"/>
      <c r="J20" s="20"/>
      <c r="K20" s="20"/>
      <c r="L20" s="20"/>
    </row>
    <row r="21" spans="1:12" ht="24.75" customHeight="1">
      <c r="A21" s="128">
        <v>12</v>
      </c>
      <c r="B21" s="122" t="s">
        <v>12</v>
      </c>
      <c r="C21" s="123">
        <v>219.45</v>
      </c>
      <c r="D21" s="138">
        <f t="shared" si="0"/>
        <v>4.2954367957157205</v>
      </c>
      <c r="E21" s="22"/>
      <c r="F21" s="20"/>
      <c r="G21" s="20"/>
      <c r="H21" s="20"/>
      <c r="I21" s="20"/>
      <c r="J21" s="20"/>
      <c r="K21" s="20"/>
      <c r="L21" s="20"/>
    </row>
    <row r="22" spans="1:12" ht="24.75" customHeight="1">
      <c r="A22" s="128">
        <v>13</v>
      </c>
      <c r="B22" s="122" t="s">
        <v>13</v>
      </c>
      <c r="C22" s="123">
        <v>135.51</v>
      </c>
      <c r="D22" s="138">
        <f t="shared" si="0"/>
        <v>2.652424881236898</v>
      </c>
      <c r="E22" s="22"/>
      <c r="F22" s="20"/>
      <c r="G22" s="20"/>
      <c r="H22" s="20"/>
      <c r="I22" s="20"/>
      <c r="J22" s="20"/>
      <c r="K22" s="20"/>
      <c r="L22" s="20"/>
    </row>
    <row r="23" spans="1:12" ht="24.75" customHeight="1">
      <c r="A23" s="128">
        <v>14</v>
      </c>
      <c r="B23" s="122" t="s">
        <v>14</v>
      </c>
      <c r="C23" s="123">
        <v>257.66</v>
      </c>
      <c r="D23" s="138">
        <f t="shared" si="0"/>
        <v>5.043345840893656</v>
      </c>
      <c r="E23" s="22"/>
      <c r="F23" s="20"/>
      <c r="G23" s="20"/>
      <c r="H23" s="20"/>
      <c r="I23" s="20"/>
      <c r="J23" s="20"/>
      <c r="K23" s="20"/>
      <c r="L23" s="20"/>
    </row>
    <row r="24" spans="1:12" ht="24.75" customHeight="1">
      <c r="A24" s="128">
        <v>15</v>
      </c>
      <c r="B24" s="122" t="s">
        <v>15</v>
      </c>
      <c r="C24" s="123">
        <v>411.99</v>
      </c>
      <c r="D24" s="138">
        <f t="shared" si="0"/>
        <v>8.064146755374436</v>
      </c>
      <c r="E24" s="22"/>
      <c r="F24" s="20"/>
      <c r="G24" s="20"/>
      <c r="H24" s="20"/>
      <c r="I24" s="20"/>
      <c r="J24" s="20"/>
      <c r="K24" s="20"/>
      <c r="L24" s="20"/>
    </row>
    <row r="25" spans="1:12" ht="24.75" customHeight="1">
      <c r="A25" s="128">
        <v>16</v>
      </c>
      <c r="B25" s="122" t="s">
        <v>16</v>
      </c>
      <c r="C25" s="123">
        <v>840.21</v>
      </c>
      <c r="D25" s="138">
        <f t="shared" si="0"/>
        <v>16.445973798716366</v>
      </c>
      <c r="E25" s="22"/>
      <c r="F25" s="20"/>
      <c r="G25" s="20"/>
      <c r="H25" s="20"/>
      <c r="I25" s="20"/>
      <c r="J25" s="20"/>
      <c r="K25" s="20"/>
      <c r="L25" s="20"/>
    </row>
    <row r="26" spans="1:12" ht="24.75" customHeight="1">
      <c r="A26" s="128">
        <v>17</v>
      </c>
      <c r="B26" s="122" t="s">
        <v>17</v>
      </c>
      <c r="C26" s="123">
        <v>443.12</v>
      </c>
      <c r="D26" s="138">
        <f t="shared" si="0"/>
        <v>8.673474381032355</v>
      </c>
      <c r="E26" s="22"/>
      <c r="F26" s="20"/>
      <c r="G26" s="20"/>
      <c r="H26" s="20"/>
      <c r="I26" s="20"/>
      <c r="J26" s="20"/>
      <c r="K26" s="20"/>
      <c r="L26" s="20"/>
    </row>
    <row r="27" spans="1:12" ht="24.75" customHeight="1">
      <c r="A27" s="137"/>
      <c r="B27" s="574" t="s">
        <v>18</v>
      </c>
      <c r="C27" s="123">
        <f>SUM(C10:C26)</f>
        <v>5108.909999999999</v>
      </c>
      <c r="D27" s="123">
        <f>SUM(D10:D26)</f>
        <v>100.00000000000001</v>
      </c>
      <c r="E27" s="109"/>
      <c r="F27" s="20"/>
      <c r="G27" s="20"/>
      <c r="H27" s="20"/>
      <c r="I27" s="20"/>
      <c r="J27" s="20"/>
      <c r="K27" s="20"/>
      <c r="L27" s="20"/>
    </row>
    <row r="28" spans="1:12" ht="24.75" customHeight="1">
      <c r="A28" s="31"/>
      <c r="B28" s="113"/>
      <c r="C28" s="77"/>
      <c r="D28" s="77"/>
      <c r="E28" s="109"/>
      <c r="F28" s="20"/>
      <c r="G28" s="20"/>
      <c r="H28" s="20"/>
      <c r="I28" s="20"/>
      <c r="J28" s="20"/>
      <c r="K28" s="20"/>
      <c r="L28" s="20"/>
    </row>
    <row r="29" spans="2:12" ht="24.75" customHeight="1">
      <c r="B29" s="119"/>
      <c r="C29" s="644" t="s">
        <v>224</v>
      </c>
      <c r="D29" s="644"/>
      <c r="E29" s="644"/>
      <c r="F29" s="644"/>
      <c r="G29" s="119"/>
      <c r="H29" s="221"/>
      <c r="I29" s="20"/>
      <c r="J29" s="20"/>
      <c r="K29" s="20"/>
      <c r="L29" s="20"/>
    </row>
    <row r="30" spans="1:12" ht="19.5" customHeight="1">
      <c r="A30" s="640" t="s">
        <v>297</v>
      </c>
      <c r="B30" s="640"/>
      <c r="C30" s="640"/>
      <c r="D30" s="640"/>
      <c r="E30" s="640"/>
      <c r="F30" s="640"/>
      <c r="G30" s="640"/>
      <c r="H30" s="221"/>
      <c r="I30" s="20"/>
      <c r="J30" s="20"/>
      <c r="K30" s="20"/>
      <c r="L30" s="20"/>
    </row>
    <row r="31" spans="1:12" ht="39" customHeight="1">
      <c r="A31" s="643" t="s">
        <v>225</v>
      </c>
      <c r="B31" s="643"/>
      <c r="C31" s="643"/>
      <c r="D31" s="643"/>
      <c r="E31" s="643"/>
      <c r="F31" s="643"/>
      <c r="G31" s="643"/>
      <c r="H31" s="20"/>
      <c r="I31" s="20"/>
      <c r="J31" s="20"/>
      <c r="K31" s="20"/>
      <c r="L31" s="20"/>
    </row>
    <row r="32" spans="1:12" ht="15.75" customHeight="1">
      <c r="A32" s="135"/>
      <c r="B32" s="135"/>
      <c r="C32" s="135"/>
      <c r="D32" s="135"/>
      <c r="E32" s="135"/>
      <c r="F32" s="177" t="s">
        <v>162</v>
      </c>
      <c r="G32" s="135"/>
      <c r="H32" s="20"/>
      <c r="I32" s="20"/>
      <c r="J32" s="20"/>
      <c r="K32" s="20"/>
      <c r="L32" s="20"/>
    </row>
    <row r="33" spans="1:30" ht="33.75" customHeight="1">
      <c r="A33" s="132" t="s">
        <v>51</v>
      </c>
      <c r="B33" s="133" t="s">
        <v>0</v>
      </c>
      <c r="C33" s="130" t="s">
        <v>147</v>
      </c>
      <c r="D33" s="130" t="s">
        <v>213</v>
      </c>
      <c r="E33" s="130" t="s">
        <v>191</v>
      </c>
      <c r="F33" s="131" t="s">
        <v>226</v>
      </c>
      <c r="G33" s="134"/>
      <c r="H33" s="238"/>
      <c r="I33" s="238"/>
      <c r="J33" s="238"/>
      <c r="K33" s="41"/>
      <c r="L33" s="41"/>
      <c r="M33" s="14"/>
      <c r="N33" s="14"/>
      <c r="O33" s="14"/>
      <c r="P33" s="14"/>
      <c r="Q33" s="14"/>
      <c r="R33" s="14"/>
      <c r="S33" s="14"/>
      <c r="T33" s="14"/>
      <c r="U33" s="14"/>
      <c r="V33" s="14"/>
      <c r="W33" s="14"/>
      <c r="X33" s="14"/>
      <c r="Y33" s="14"/>
      <c r="Z33" s="14"/>
      <c r="AA33" s="14"/>
      <c r="AB33" s="14"/>
      <c r="AC33" s="14"/>
      <c r="AD33" s="14"/>
    </row>
    <row r="34" spans="1:12" ht="15">
      <c r="A34" s="278"/>
      <c r="B34" s="279">
        <v>1</v>
      </c>
      <c r="C34" s="4">
        <v>2</v>
      </c>
      <c r="D34" s="280">
        <v>3</v>
      </c>
      <c r="E34" s="281">
        <v>4</v>
      </c>
      <c r="F34" s="281">
        <v>5</v>
      </c>
      <c r="G34" s="20" t="s">
        <v>4</v>
      </c>
      <c r="H34" s="20"/>
      <c r="I34" s="20"/>
      <c r="J34" s="20"/>
      <c r="K34" s="20"/>
      <c r="L34" s="20"/>
    </row>
    <row r="35" spans="1:12" ht="27.75" customHeight="1">
      <c r="A35" s="118">
        <v>1</v>
      </c>
      <c r="B35" s="282" t="s">
        <v>176</v>
      </c>
      <c r="C35" s="283">
        <v>19541</v>
      </c>
      <c r="D35" s="283">
        <v>21848</v>
      </c>
      <c r="E35" s="283">
        <v>23824</v>
      </c>
      <c r="F35" s="284">
        <f aca="true" t="shared" si="1" ref="F35:F52">AVERAGE(C35,D35,E35)</f>
        <v>21737.666666666668</v>
      </c>
      <c r="G35" s="129"/>
      <c r="H35" s="20"/>
      <c r="I35" s="20"/>
      <c r="J35" s="20"/>
      <c r="K35" s="20"/>
      <c r="L35" s="20"/>
    </row>
    <row r="36" spans="1:12" ht="27.75" customHeight="1">
      <c r="A36" s="118">
        <v>2</v>
      </c>
      <c r="B36" s="282" t="s">
        <v>52</v>
      </c>
      <c r="C36" s="283">
        <v>6290</v>
      </c>
      <c r="D36" s="283">
        <v>7000</v>
      </c>
      <c r="E36" s="283">
        <v>6596</v>
      </c>
      <c r="F36" s="284">
        <f t="shared" si="1"/>
        <v>6628.666666666667</v>
      </c>
      <c r="G36" s="129" t="s">
        <v>19</v>
      </c>
      <c r="H36" s="20"/>
      <c r="I36" s="20"/>
      <c r="J36" s="20"/>
      <c r="K36" s="20"/>
      <c r="L36" s="20"/>
    </row>
    <row r="37" spans="1:12" ht="27.75" customHeight="1">
      <c r="A37" s="118">
        <v>3</v>
      </c>
      <c r="B37" s="282" t="s">
        <v>142</v>
      </c>
      <c r="C37" s="283">
        <v>12844</v>
      </c>
      <c r="D37" s="283">
        <v>15605</v>
      </c>
      <c r="E37" s="283">
        <v>17709</v>
      </c>
      <c r="F37" s="284">
        <f t="shared" si="1"/>
        <v>15386</v>
      </c>
      <c r="G37" s="129" t="s">
        <v>19</v>
      </c>
      <c r="H37" s="20"/>
      <c r="I37" s="20"/>
      <c r="J37" s="20"/>
      <c r="K37" s="20"/>
      <c r="L37" s="20"/>
    </row>
    <row r="38" spans="1:12" ht="27.75" customHeight="1">
      <c r="A38" s="118">
        <v>4</v>
      </c>
      <c r="B38" s="282" t="s">
        <v>5</v>
      </c>
      <c r="C38" s="283">
        <v>50701</v>
      </c>
      <c r="D38" s="283">
        <v>57458</v>
      </c>
      <c r="E38" s="283">
        <v>70523</v>
      </c>
      <c r="F38" s="284">
        <f t="shared" si="1"/>
        <v>59560.666666666664</v>
      </c>
      <c r="G38" s="13"/>
      <c r="H38" s="20"/>
      <c r="I38" s="20"/>
      <c r="J38" s="20"/>
      <c r="K38" s="20"/>
      <c r="L38" s="20"/>
    </row>
    <row r="39" spans="1:12" ht="27.75" customHeight="1">
      <c r="A39" s="118">
        <v>5</v>
      </c>
      <c r="B39" s="282" t="s">
        <v>6</v>
      </c>
      <c r="C39" s="283">
        <v>21992</v>
      </c>
      <c r="D39" s="283">
        <v>26160</v>
      </c>
      <c r="E39" s="283">
        <v>28094</v>
      </c>
      <c r="F39" s="284">
        <f t="shared" si="1"/>
        <v>25415.333333333332</v>
      </c>
      <c r="G39" s="13"/>
      <c r="H39" s="20"/>
      <c r="I39" s="20"/>
      <c r="J39" s="20"/>
      <c r="K39" s="20"/>
      <c r="L39" s="20"/>
    </row>
    <row r="40" spans="1:12" ht="27.75" customHeight="1">
      <c r="A40" s="118">
        <v>6</v>
      </c>
      <c r="B40" s="282" t="s">
        <v>7</v>
      </c>
      <c r="C40" s="283">
        <v>25422</v>
      </c>
      <c r="D40" s="283">
        <v>28297</v>
      </c>
      <c r="E40" s="283">
        <v>32350</v>
      </c>
      <c r="F40" s="284">
        <f t="shared" si="1"/>
        <v>28689.666666666668</v>
      </c>
      <c r="G40" s="13"/>
      <c r="H40" s="20"/>
      <c r="I40" s="20"/>
      <c r="J40" s="20"/>
      <c r="K40" s="20"/>
      <c r="L40" s="20"/>
    </row>
    <row r="41" spans="1:12" ht="27.75" customHeight="1">
      <c r="A41" s="118">
        <v>7</v>
      </c>
      <c r="B41" s="282" t="s">
        <v>145</v>
      </c>
      <c r="C41" s="283">
        <v>11662</v>
      </c>
      <c r="D41" s="283">
        <v>12960</v>
      </c>
      <c r="E41" s="283">
        <v>17569</v>
      </c>
      <c r="F41" s="284">
        <f t="shared" si="1"/>
        <v>14063.666666666666</v>
      </c>
      <c r="G41" s="13" t="s">
        <v>19</v>
      </c>
      <c r="H41" s="20"/>
      <c r="I41" s="20"/>
      <c r="J41" s="20"/>
      <c r="K41" s="20"/>
      <c r="L41" s="20"/>
    </row>
    <row r="42" spans="1:12" ht="27.75" customHeight="1">
      <c r="A42" s="118">
        <v>8</v>
      </c>
      <c r="B42" s="282" t="s">
        <v>8</v>
      </c>
      <c r="C42" s="283">
        <v>20043</v>
      </c>
      <c r="D42" s="283">
        <v>21513</v>
      </c>
      <c r="E42" s="283">
        <v>25237</v>
      </c>
      <c r="F42" s="284">
        <f t="shared" si="1"/>
        <v>22264.333333333332</v>
      </c>
      <c r="G42" s="13"/>
      <c r="H42" s="20"/>
      <c r="I42" s="20"/>
      <c r="J42" s="20"/>
      <c r="K42" s="20"/>
      <c r="L42" s="20"/>
    </row>
    <row r="43" spans="1:12" ht="27.75" customHeight="1">
      <c r="A43" s="118">
        <v>9</v>
      </c>
      <c r="B43" s="282" t="s">
        <v>9</v>
      </c>
      <c r="C43" s="283">
        <v>24027</v>
      </c>
      <c r="D43" s="283">
        <v>27178</v>
      </c>
      <c r="E43" s="283">
        <v>28276</v>
      </c>
      <c r="F43" s="284">
        <f t="shared" si="1"/>
        <v>26493.666666666668</v>
      </c>
      <c r="G43" s="13"/>
      <c r="H43" s="20"/>
      <c r="I43" s="20"/>
      <c r="J43" s="20"/>
      <c r="K43" s="20"/>
      <c r="L43" s="20"/>
    </row>
    <row r="44" spans="1:12" ht="27.75" customHeight="1">
      <c r="A44" s="118">
        <v>10</v>
      </c>
      <c r="B44" s="282" t="s">
        <v>53</v>
      </c>
      <c r="C44" s="283">
        <v>12204</v>
      </c>
      <c r="D44" s="283">
        <v>14590</v>
      </c>
      <c r="E44" s="283">
        <v>14530</v>
      </c>
      <c r="F44" s="284">
        <f t="shared" si="1"/>
        <v>13774.666666666666</v>
      </c>
      <c r="G44" s="13" t="s">
        <v>19</v>
      </c>
      <c r="H44" s="20"/>
      <c r="I44" s="20"/>
      <c r="J44" s="20"/>
      <c r="K44" s="20"/>
      <c r="L44" s="20"/>
    </row>
    <row r="45" spans="1:12" ht="27.75" customHeight="1">
      <c r="A45" s="118">
        <v>11</v>
      </c>
      <c r="B45" s="282" t="s">
        <v>54</v>
      </c>
      <c r="C45" s="283">
        <v>26412</v>
      </c>
      <c r="D45" s="283">
        <v>29231</v>
      </c>
      <c r="E45" s="283">
        <v>31940</v>
      </c>
      <c r="F45" s="284">
        <f t="shared" si="1"/>
        <v>29194.333333333332</v>
      </c>
      <c r="G45" s="13"/>
      <c r="H45" s="20"/>
      <c r="I45" s="20"/>
      <c r="J45" s="20"/>
      <c r="K45" s="20"/>
      <c r="L45" s="20"/>
    </row>
    <row r="46" spans="1:12" ht="27.75" customHeight="1">
      <c r="A46" s="118">
        <v>12</v>
      </c>
      <c r="B46" s="282" t="s">
        <v>55</v>
      </c>
      <c r="C46" s="283">
        <v>11535</v>
      </c>
      <c r="D46" s="283">
        <v>13991</v>
      </c>
      <c r="E46" s="283">
        <v>16077</v>
      </c>
      <c r="F46" s="284">
        <f t="shared" si="1"/>
        <v>13867.666666666666</v>
      </c>
      <c r="G46" s="13" t="s">
        <v>19</v>
      </c>
      <c r="H46" s="20"/>
      <c r="I46" s="20"/>
      <c r="J46" s="20"/>
      <c r="K46" s="20"/>
      <c r="L46" s="20"/>
    </row>
    <row r="47" spans="1:12" ht="27.75" customHeight="1">
      <c r="A47" s="118">
        <v>13</v>
      </c>
      <c r="B47" s="282" t="s">
        <v>13</v>
      </c>
      <c r="C47" s="283">
        <v>28369</v>
      </c>
      <c r="D47" s="283">
        <v>29974</v>
      </c>
      <c r="E47" s="283">
        <v>31993</v>
      </c>
      <c r="F47" s="302">
        <f t="shared" si="1"/>
        <v>30112</v>
      </c>
      <c r="G47" s="13"/>
      <c r="H47" s="20"/>
      <c r="I47" s="20"/>
      <c r="J47" s="20"/>
      <c r="K47" s="20"/>
      <c r="L47" s="20"/>
    </row>
    <row r="48" spans="1:12" ht="27.75" customHeight="1">
      <c r="A48" s="118">
        <v>14</v>
      </c>
      <c r="B48" s="282" t="s">
        <v>56</v>
      </c>
      <c r="C48" s="283">
        <v>12628</v>
      </c>
      <c r="D48" s="283">
        <v>16322</v>
      </c>
      <c r="E48" s="283">
        <v>16421</v>
      </c>
      <c r="F48" s="284">
        <f t="shared" si="1"/>
        <v>15123.666666666666</v>
      </c>
      <c r="G48" s="13" t="s">
        <v>19</v>
      </c>
      <c r="H48" s="20"/>
      <c r="I48" s="20"/>
      <c r="J48" s="20"/>
      <c r="K48" s="20"/>
      <c r="L48" s="20"/>
    </row>
    <row r="49" spans="1:12" ht="27.75" customHeight="1">
      <c r="A49" s="118">
        <v>15</v>
      </c>
      <c r="B49" s="282" t="s">
        <v>15</v>
      </c>
      <c r="C49" s="283">
        <v>22516</v>
      </c>
      <c r="D49" s="283">
        <v>24694</v>
      </c>
      <c r="E49" s="283">
        <v>27635</v>
      </c>
      <c r="F49" s="284">
        <f t="shared" si="1"/>
        <v>24948.333333333332</v>
      </c>
      <c r="G49" s="13"/>
      <c r="H49" s="20"/>
      <c r="I49" s="20"/>
      <c r="J49" s="20"/>
      <c r="K49" s="20"/>
      <c r="L49" s="20"/>
    </row>
    <row r="50" spans="1:12" ht="27.75" customHeight="1">
      <c r="A50" s="118">
        <v>16</v>
      </c>
      <c r="B50" s="282" t="s">
        <v>57</v>
      </c>
      <c r="C50" s="283">
        <v>11144</v>
      </c>
      <c r="D50" s="283">
        <v>11832</v>
      </c>
      <c r="E50" s="283">
        <v>12072</v>
      </c>
      <c r="F50" s="284">
        <f t="shared" si="1"/>
        <v>11682.666666666666</v>
      </c>
      <c r="G50" s="13" t="s">
        <v>19</v>
      </c>
      <c r="H50" s="20"/>
      <c r="I50" s="20"/>
      <c r="J50" s="20"/>
      <c r="K50" s="20"/>
      <c r="L50" s="20"/>
    </row>
    <row r="51" spans="1:12" ht="27.75" customHeight="1">
      <c r="A51" s="118">
        <v>17</v>
      </c>
      <c r="B51" s="282" t="s">
        <v>58</v>
      </c>
      <c r="C51" s="283">
        <v>17234</v>
      </c>
      <c r="D51" s="283">
        <v>18991</v>
      </c>
      <c r="E51" s="283">
        <v>20814</v>
      </c>
      <c r="F51" s="284">
        <f t="shared" si="1"/>
        <v>19013</v>
      </c>
      <c r="G51" s="13" t="s">
        <v>19</v>
      </c>
      <c r="H51" s="20"/>
      <c r="I51" s="20"/>
      <c r="J51" s="20"/>
      <c r="K51" s="20"/>
      <c r="L51" s="20"/>
    </row>
    <row r="52" spans="1:8" ht="33.75" customHeight="1">
      <c r="A52" s="285"/>
      <c r="B52" s="286" t="s">
        <v>20</v>
      </c>
      <c r="C52" s="283">
        <v>17263</v>
      </c>
      <c r="D52" s="283">
        <v>19245</v>
      </c>
      <c r="E52" s="287">
        <v>20925</v>
      </c>
      <c r="F52" s="284">
        <f t="shared" si="1"/>
        <v>19144.333333333332</v>
      </c>
      <c r="H52" s="129">
        <f>F52+F52*1/100</f>
        <v>19335.776666666665</v>
      </c>
    </row>
    <row r="53" spans="1:6" ht="26.25" customHeight="1">
      <c r="A53" s="285"/>
      <c r="B53" s="377" t="s">
        <v>251</v>
      </c>
      <c r="C53" s="283"/>
      <c r="D53" s="283"/>
      <c r="E53" s="287"/>
      <c r="F53" s="376" t="s">
        <v>223</v>
      </c>
    </row>
    <row r="54" spans="2:12" ht="19.5" customHeight="1">
      <c r="B54" s="23" t="s">
        <v>21</v>
      </c>
      <c r="C54" s="277"/>
      <c r="D54" s="277"/>
      <c r="E54" s="103"/>
      <c r="F54" s="23"/>
      <c r="G54" s="20"/>
      <c r="H54" s="20"/>
      <c r="I54" s="20"/>
      <c r="J54" s="20"/>
      <c r="K54" s="20"/>
      <c r="L54" s="20"/>
    </row>
    <row r="55" spans="2:12" ht="19.5" customHeight="1">
      <c r="B55" s="23"/>
      <c r="C55" s="24"/>
      <c r="D55" s="24"/>
      <c r="E55" s="24"/>
      <c r="F55" s="20"/>
      <c r="G55" s="20"/>
      <c r="H55" s="20"/>
      <c r="I55" s="20"/>
      <c r="J55" s="20"/>
      <c r="K55" s="20"/>
      <c r="L55" s="20"/>
    </row>
    <row r="56" spans="2:13" ht="19.5" customHeight="1">
      <c r="B56" s="23"/>
      <c r="C56" s="24"/>
      <c r="D56" s="644" t="s">
        <v>224</v>
      </c>
      <c r="E56" s="644"/>
      <c r="F56" s="644"/>
      <c r="G56" s="644"/>
      <c r="H56" s="221"/>
      <c r="I56" s="120"/>
      <c r="J56" s="120"/>
      <c r="K56" s="120"/>
      <c r="L56" s="120"/>
      <c r="M56" s="120"/>
    </row>
    <row r="57" spans="1:12" ht="28.5" customHeight="1">
      <c r="A57" s="641" t="s">
        <v>68</v>
      </c>
      <c r="B57" s="642"/>
      <c r="C57" s="642"/>
      <c r="D57" s="642"/>
      <c r="E57" s="642"/>
      <c r="F57" s="642"/>
      <c r="G57" s="642"/>
      <c r="H57" s="20"/>
      <c r="I57" s="20"/>
      <c r="J57" s="20"/>
      <c r="K57" s="20"/>
      <c r="L57" s="20"/>
    </row>
    <row r="58" spans="1:12" s="15" customFormat="1" ht="19.5" customHeight="1">
      <c r="A58" s="639" t="s">
        <v>153</v>
      </c>
      <c r="B58" s="639"/>
      <c r="C58" s="639"/>
      <c r="D58" s="639"/>
      <c r="E58" s="639"/>
      <c r="F58" s="639"/>
      <c r="G58" s="639"/>
      <c r="H58" s="13"/>
      <c r="I58" s="13"/>
      <c r="J58" s="13"/>
      <c r="K58" s="13"/>
      <c r="L58" s="13"/>
    </row>
    <row r="59" spans="1:12" s="15" customFormat="1" ht="21" customHeight="1">
      <c r="A59" s="649" t="s">
        <v>111</v>
      </c>
      <c r="B59" s="649"/>
      <c r="C59" s="649"/>
      <c r="D59" s="649"/>
      <c r="E59" s="649"/>
      <c r="F59" s="649"/>
      <c r="G59" s="649"/>
      <c r="H59" s="13"/>
      <c r="I59" s="13"/>
      <c r="J59" s="13"/>
      <c r="K59" s="13"/>
      <c r="L59" s="13"/>
    </row>
    <row r="60" spans="1:12" s="15" customFormat="1" ht="23.25" customHeight="1">
      <c r="A60" s="650" t="s">
        <v>253</v>
      </c>
      <c r="B60" s="650"/>
      <c r="C60" s="650"/>
      <c r="D60" s="650"/>
      <c r="E60" s="650"/>
      <c r="F60" s="650"/>
      <c r="G60" s="650"/>
      <c r="H60" s="13"/>
      <c r="I60" s="13"/>
      <c r="J60" s="13"/>
      <c r="K60" s="13"/>
      <c r="L60" s="13"/>
    </row>
    <row r="61" spans="1:12" s="15" customFormat="1" ht="51" customHeight="1">
      <c r="A61" s="378" t="s">
        <v>51</v>
      </c>
      <c r="B61" s="379" t="s">
        <v>0</v>
      </c>
      <c r="C61" s="380" t="s">
        <v>252</v>
      </c>
      <c r="D61" s="380" t="s">
        <v>228</v>
      </c>
      <c r="E61" s="380" t="s">
        <v>44</v>
      </c>
      <c r="F61" s="380" t="s">
        <v>45</v>
      </c>
      <c r="G61" s="386" t="s">
        <v>1</v>
      </c>
      <c r="H61" s="13"/>
      <c r="I61" s="13"/>
      <c r="J61" s="13"/>
      <c r="K61" s="13"/>
      <c r="L61" s="13"/>
    </row>
    <row r="62" spans="1:7" s="26" customFormat="1" ht="21" customHeight="1">
      <c r="A62" s="381"/>
      <c r="B62" s="382">
        <v>1</v>
      </c>
      <c r="C62" s="383" t="s">
        <v>23</v>
      </c>
      <c r="D62" s="383" t="s">
        <v>24</v>
      </c>
      <c r="E62" s="383" t="s">
        <v>25</v>
      </c>
      <c r="F62" s="383" t="s">
        <v>26</v>
      </c>
      <c r="G62" s="387" t="s">
        <v>27</v>
      </c>
    </row>
    <row r="63" spans="1:12" s="15" customFormat="1" ht="24" customHeight="1">
      <c r="A63" s="2">
        <v>1</v>
      </c>
      <c r="B63" s="10" t="s">
        <v>125</v>
      </c>
      <c r="C63" s="124">
        <f aca="true" t="shared" si="2" ref="C63:C79">F35</f>
        <v>21737.666666666668</v>
      </c>
      <c r="D63" s="124">
        <v>0</v>
      </c>
      <c r="E63" s="123">
        <v>435.03</v>
      </c>
      <c r="F63" s="124">
        <f aca="true" t="shared" si="3" ref="F63:F79">D63*E63</f>
        <v>0</v>
      </c>
      <c r="G63" s="138">
        <f aca="true" t="shared" si="4" ref="G63:G79">F63/$F$80*100</f>
        <v>0</v>
      </c>
      <c r="H63" s="288"/>
      <c r="I63" s="13"/>
      <c r="J63" s="13"/>
      <c r="K63" s="13"/>
      <c r="L63" s="13"/>
    </row>
    <row r="64" spans="1:12" s="15" customFormat="1" ht="24" customHeight="1">
      <c r="A64" s="2">
        <v>2</v>
      </c>
      <c r="B64" s="10" t="s">
        <v>52</v>
      </c>
      <c r="C64" s="124">
        <f t="shared" si="2"/>
        <v>6628.666666666667</v>
      </c>
      <c r="D64" s="124">
        <f>$C$75-C64</f>
        <v>23483.333333333332</v>
      </c>
      <c r="E64" s="123">
        <v>421.26</v>
      </c>
      <c r="F64" s="124">
        <f t="shared" si="3"/>
        <v>9892589</v>
      </c>
      <c r="G64" s="138">
        <f t="shared" si="4"/>
        <v>21.218339693797343</v>
      </c>
      <c r="H64" s="288"/>
      <c r="I64" s="13"/>
      <c r="J64" s="13"/>
      <c r="K64" s="13"/>
      <c r="L64" s="13"/>
    </row>
    <row r="65" spans="1:12" s="15" customFormat="1" ht="24" customHeight="1">
      <c r="A65" s="2">
        <v>3</v>
      </c>
      <c r="B65" s="10" t="s">
        <v>142</v>
      </c>
      <c r="C65" s="124">
        <f t="shared" si="2"/>
        <v>15386</v>
      </c>
      <c r="D65" s="124">
        <f>$C$75-C65</f>
        <v>14726</v>
      </c>
      <c r="E65" s="123">
        <v>116.38</v>
      </c>
      <c r="F65" s="124">
        <f t="shared" si="3"/>
        <v>1713811.88</v>
      </c>
      <c r="G65" s="138">
        <f t="shared" si="4"/>
        <v>3.6759075547468356</v>
      </c>
      <c r="H65" s="288"/>
      <c r="I65" s="13"/>
      <c r="J65" s="13"/>
      <c r="K65" s="13"/>
      <c r="L65" s="13"/>
    </row>
    <row r="66" spans="1:12" s="15" customFormat="1" ht="24" customHeight="1">
      <c r="A66" s="2">
        <v>4</v>
      </c>
      <c r="B66" s="10" t="s">
        <v>5</v>
      </c>
      <c r="C66" s="124">
        <f t="shared" si="2"/>
        <v>59560.666666666664</v>
      </c>
      <c r="D66" s="124">
        <v>0</v>
      </c>
      <c r="E66" s="123">
        <v>7.95</v>
      </c>
      <c r="F66" s="124">
        <f t="shared" si="3"/>
        <v>0</v>
      </c>
      <c r="G66" s="138">
        <f t="shared" si="4"/>
        <v>0</v>
      </c>
      <c r="H66" s="288"/>
      <c r="I66" s="13"/>
      <c r="J66" s="13"/>
      <c r="K66" s="13"/>
      <c r="L66" s="13"/>
    </row>
    <row r="67" spans="1:12" s="15" customFormat="1" ht="24" customHeight="1">
      <c r="A67" s="2">
        <v>5</v>
      </c>
      <c r="B67" s="10" t="s">
        <v>6</v>
      </c>
      <c r="C67" s="124">
        <f t="shared" si="2"/>
        <v>25415.333333333332</v>
      </c>
      <c r="D67" s="124">
        <v>0</v>
      </c>
      <c r="E67" s="123">
        <v>266.97</v>
      </c>
      <c r="F67" s="124">
        <f t="shared" si="3"/>
        <v>0</v>
      </c>
      <c r="G67" s="138">
        <f t="shared" si="4"/>
        <v>0</v>
      </c>
      <c r="H67" s="288"/>
      <c r="I67" s="13"/>
      <c r="J67" s="13"/>
      <c r="K67" s="13"/>
      <c r="L67" s="13"/>
    </row>
    <row r="68" spans="1:12" s="15" customFormat="1" ht="24" customHeight="1">
      <c r="A68" s="2">
        <v>6</v>
      </c>
      <c r="B68" s="10" t="s">
        <v>7</v>
      </c>
      <c r="C68" s="124">
        <f t="shared" si="2"/>
        <v>28689.666666666668</v>
      </c>
      <c r="D68" s="124">
        <v>0</v>
      </c>
      <c r="E68" s="123">
        <v>100.37</v>
      </c>
      <c r="F68" s="124">
        <f t="shared" si="3"/>
        <v>0</v>
      </c>
      <c r="G68" s="138">
        <f t="shared" si="4"/>
        <v>0</v>
      </c>
      <c r="H68" s="288"/>
      <c r="I68" s="13"/>
      <c r="J68" s="13"/>
      <c r="K68" s="13"/>
      <c r="L68" s="13"/>
    </row>
    <row r="69" spans="1:12" s="15" customFormat="1" ht="24" customHeight="1">
      <c r="A69" s="2">
        <v>7</v>
      </c>
      <c r="B69" s="10" t="s">
        <v>143</v>
      </c>
      <c r="C69" s="124">
        <f t="shared" si="2"/>
        <v>14063.666666666666</v>
      </c>
      <c r="D69" s="124">
        <f>$C$75-C69</f>
        <v>16048.333333333334</v>
      </c>
      <c r="E69" s="123">
        <v>142.27</v>
      </c>
      <c r="F69" s="124">
        <f t="shared" si="3"/>
        <v>2283196.383333334</v>
      </c>
      <c r="G69" s="138">
        <f t="shared" si="4"/>
        <v>4.897164579385255</v>
      </c>
      <c r="H69" s="288"/>
      <c r="I69" s="13"/>
      <c r="J69" s="13"/>
      <c r="K69" s="13"/>
      <c r="L69" s="13"/>
    </row>
    <row r="70" spans="1:12" s="15" customFormat="1" ht="24" customHeight="1">
      <c r="A70" s="2">
        <v>8</v>
      </c>
      <c r="B70" s="10" t="s">
        <v>8</v>
      </c>
      <c r="C70" s="124">
        <f t="shared" si="2"/>
        <v>22264.333333333332</v>
      </c>
      <c r="D70" s="124">
        <v>0</v>
      </c>
      <c r="E70" s="123">
        <v>292.99</v>
      </c>
      <c r="F70" s="124">
        <f t="shared" si="3"/>
        <v>0</v>
      </c>
      <c r="G70" s="138">
        <f t="shared" si="4"/>
        <v>0</v>
      </c>
      <c r="H70" s="288"/>
      <c r="I70" s="13"/>
      <c r="J70" s="13"/>
      <c r="K70" s="13"/>
      <c r="L70" s="13"/>
    </row>
    <row r="71" spans="1:12" s="15" customFormat="1" ht="24" customHeight="1">
      <c r="A71" s="2">
        <v>9</v>
      </c>
      <c r="B71" s="10" t="s">
        <v>9</v>
      </c>
      <c r="C71" s="124">
        <f t="shared" si="2"/>
        <v>26493.666666666668</v>
      </c>
      <c r="D71" s="124">
        <v>0</v>
      </c>
      <c r="E71" s="123">
        <v>213.47</v>
      </c>
      <c r="F71" s="124">
        <f t="shared" si="3"/>
        <v>0</v>
      </c>
      <c r="G71" s="138">
        <f t="shared" si="4"/>
        <v>0</v>
      </c>
      <c r="H71" s="288"/>
      <c r="I71" s="13"/>
      <c r="J71" s="13"/>
      <c r="K71" s="13"/>
      <c r="L71" s="13"/>
    </row>
    <row r="72" spans="1:12" s="15" customFormat="1" ht="24" customHeight="1">
      <c r="A72" s="2">
        <v>10</v>
      </c>
      <c r="B72" s="10" t="s">
        <v>53</v>
      </c>
      <c r="C72" s="124">
        <f t="shared" si="2"/>
        <v>13774.666666666666</v>
      </c>
      <c r="D72" s="124">
        <f>$C$75-C72</f>
        <v>16337.333333333334</v>
      </c>
      <c r="E72" s="123">
        <v>300.16</v>
      </c>
      <c r="F72" s="124">
        <f t="shared" si="3"/>
        <v>4903813.973333334</v>
      </c>
      <c r="G72" s="138">
        <f t="shared" si="4"/>
        <v>10.518054543798062</v>
      </c>
      <c r="H72" s="288"/>
      <c r="I72" s="13"/>
      <c r="J72" s="13"/>
      <c r="K72" s="13"/>
      <c r="L72" s="13"/>
    </row>
    <row r="73" spans="1:12" s="15" customFormat="1" ht="24" customHeight="1">
      <c r="A73" s="2">
        <v>11</v>
      </c>
      <c r="B73" s="10" t="s">
        <v>11</v>
      </c>
      <c r="C73" s="124">
        <f t="shared" si="2"/>
        <v>29194.333333333332</v>
      </c>
      <c r="D73" s="124">
        <v>0</v>
      </c>
      <c r="E73" s="123">
        <v>504.12</v>
      </c>
      <c r="F73" s="124">
        <f t="shared" si="3"/>
        <v>0</v>
      </c>
      <c r="G73" s="138">
        <f t="shared" si="4"/>
        <v>0</v>
      </c>
      <c r="H73" s="288"/>
      <c r="I73" s="13"/>
      <c r="J73" s="13"/>
      <c r="K73" s="13"/>
      <c r="L73" s="13"/>
    </row>
    <row r="74" spans="1:12" s="15" customFormat="1" ht="24" customHeight="1">
      <c r="A74" s="2">
        <v>12</v>
      </c>
      <c r="B74" s="10" t="s">
        <v>59</v>
      </c>
      <c r="C74" s="124">
        <f t="shared" si="2"/>
        <v>13867.666666666666</v>
      </c>
      <c r="D74" s="124">
        <f>$C$75-C74</f>
        <v>16244.333333333334</v>
      </c>
      <c r="E74" s="123">
        <v>219.45</v>
      </c>
      <c r="F74" s="124">
        <f t="shared" si="3"/>
        <v>3564818.9499999997</v>
      </c>
      <c r="G74" s="138">
        <f t="shared" si="4"/>
        <v>7.64608126628792</v>
      </c>
      <c r="H74" s="288"/>
      <c r="I74" s="13"/>
      <c r="J74" s="13"/>
      <c r="K74" s="13"/>
      <c r="L74" s="13"/>
    </row>
    <row r="75" spans="1:12" s="15" customFormat="1" ht="24" customHeight="1">
      <c r="A75" s="2">
        <v>13</v>
      </c>
      <c r="B75" s="10" t="s">
        <v>13</v>
      </c>
      <c r="C75" s="384">
        <f t="shared" si="2"/>
        <v>30112</v>
      </c>
      <c r="D75" s="124">
        <v>0</v>
      </c>
      <c r="E75" s="123">
        <v>135.51</v>
      </c>
      <c r="F75" s="124">
        <f t="shared" si="3"/>
        <v>0</v>
      </c>
      <c r="G75" s="138">
        <f t="shared" si="4"/>
        <v>0</v>
      </c>
      <c r="H75" s="288"/>
      <c r="I75" s="13"/>
      <c r="J75" s="13"/>
      <c r="K75" s="13"/>
      <c r="L75" s="13"/>
    </row>
    <row r="76" spans="1:12" s="15" customFormat="1" ht="24" customHeight="1">
      <c r="A76" s="2">
        <v>14</v>
      </c>
      <c r="B76" s="10" t="s">
        <v>56</v>
      </c>
      <c r="C76" s="124">
        <f t="shared" si="2"/>
        <v>15123.666666666666</v>
      </c>
      <c r="D76" s="124">
        <f>$C$75-C76</f>
        <v>14988.333333333334</v>
      </c>
      <c r="E76" s="123">
        <v>257.66</v>
      </c>
      <c r="F76" s="124">
        <f t="shared" si="3"/>
        <v>3861893.9666666673</v>
      </c>
      <c r="G76" s="138">
        <f t="shared" si="4"/>
        <v>8.28326922771782</v>
      </c>
      <c r="H76" s="288"/>
      <c r="I76" s="13"/>
      <c r="J76" s="13"/>
      <c r="K76" s="13"/>
      <c r="L76" s="13"/>
    </row>
    <row r="77" spans="1:12" s="15" customFormat="1" ht="24" customHeight="1">
      <c r="A77" s="2">
        <v>15</v>
      </c>
      <c r="B77" s="10" t="s">
        <v>15</v>
      </c>
      <c r="C77" s="124">
        <f t="shared" si="2"/>
        <v>24948.333333333332</v>
      </c>
      <c r="D77" s="124">
        <v>0</v>
      </c>
      <c r="E77" s="123">
        <v>411.99</v>
      </c>
      <c r="F77" s="124">
        <f t="shared" si="3"/>
        <v>0</v>
      </c>
      <c r="G77" s="138">
        <f t="shared" si="4"/>
        <v>0</v>
      </c>
      <c r="H77" s="288"/>
      <c r="I77" s="13"/>
      <c r="J77" s="13"/>
      <c r="K77" s="13"/>
      <c r="L77" s="13"/>
    </row>
    <row r="78" spans="1:12" s="15" customFormat="1" ht="24" customHeight="1">
      <c r="A78" s="2">
        <v>16</v>
      </c>
      <c r="B78" s="10" t="s">
        <v>57</v>
      </c>
      <c r="C78" s="124">
        <f t="shared" si="2"/>
        <v>11682.666666666666</v>
      </c>
      <c r="D78" s="124">
        <f>$C$75-C78</f>
        <v>18429.333333333336</v>
      </c>
      <c r="E78" s="123">
        <v>840.21</v>
      </c>
      <c r="F78" s="124">
        <f t="shared" si="3"/>
        <v>15484510.160000002</v>
      </c>
      <c r="G78" s="138">
        <f t="shared" si="4"/>
        <v>33.21229625196561</v>
      </c>
      <c r="H78" s="288"/>
      <c r="I78" s="13"/>
      <c r="J78" s="13"/>
      <c r="K78" s="13"/>
      <c r="L78" s="13"/>
    </row>
    <row r="79" spans="1:12" s="15" customFormat="1" ht="24" customHeight="1">
      <c r="A79" s="2">
        <v>17</v>
      </c>
      <c r="B79" s="10" t="s">
        <v>58</v>
      </c>
      <c r="C79" s="124">
        <f t="shared" si="2"/>
        <v>19013</v>
      </c>
      <c r="D79" s="124">
        <f>$C$75-C79</f>
        <v>11099</v>
      </c>
      <c r="E79" s="123">
        <v>443.12</v>
      </c>
      <c r="F79" s="124">
        <f t="shared" si="3"/>
        <v>4918188.88</v>
      </c>
      <c r="G79" s="138">
        <f t="shared" si="4"/>
        <v>10.548886882301153</v>
      </c>
      <c r="H79" s="288"/>
      <c r="I79" s="13"/>
      <c r="J79" s="13"/>
      <c r="K79" s="13"/>
      <c r="L79" s="13"/>
    </row>
    <row r="80" spans="1:8" s="15" customFormat="1" ht="24" customHeight="1">
      <c r="A80" s="2"/>
      <c r="B80" s="11" t="s">
        <v>28</v>
      </c>
      <c r="C80" s="376" t="s">
        <v>227</v>
      </c>
      <c r="D80" s="385">
        <f>SUM(D63:D79)</f>
        <v>131356</v>
      </c>
      <c r="E80" s="126">
        <f>SUM(E63:E79)</f>
        <v>5108.909999999999</v>
      </c>
      <c r="F80" s="385">
        <f>SUM(F63:F79)</f>
        <v>46622823.193333335</v>
      </c>
      <c r="G80" s="138">
        <f>SUM(G63:G79)</f>
        <v>100</v>
      </c>
      <c r="H80" s="288"/>
    </row>
    <row r="81" spans="1:8" s="15" customFormat="1" ht="19.5" customHeight="1">
      <c r="A81" s="1"/>
      <c r="B81" s="115" t="s">
        <v>75</v>
      </c>
      <c r="C81" s="34"/>
      <c r="D81" s="116"/>
      <c r="E81" s="116"/>
      <c r="F81" s="116"/>
      <c r="G81" s="117"/>
      <c r="H81" s="289"/>
    </row>
    <row r="82" spans="1:12" s="15" customFormat="1" ht="19.5" customHeight="1">
      <c r="A82" s="3"/>
      <c r="B82" s="23" t="s">
        <v>214</v>
      </c>
      <c r="C82" s="24"/>
      <c r="D82" s="24"/>
      <c r="E82" s="24"/>
      <c r="F82" s="20"/>
      <c r="G82" s="6"/>
      <c r="H82" s="290"/>
      <c r="I82" s="13"/>
      <c r="J82" s="13"/>
      <c r="K82" s="13"/>
      <c r="L82" s="13"/>
    </row>
    <row r="83" spans="4:12" s="15" customFormat="1" ht="19.5" customHeight="1">
      <c r="D83" s="644" t="s">
        <v>224</v>
      </c>
      <c r="E83" s="644"/>
      <c r="F83" s="644"/>
      <c r="G83" s="644"/>
      <c r="H83" s="291"/>
      <c r="I83" s="13"/>
      <c r="J83" s="13"/>
      <c r="K83" s="13"/>
      <c r="L83" s="13"/>
    </row>
    <row r="84" spans="1:12" s="15" customFormat="1" ht="19.5" customHeight="1">
      <c r="A84" s="651" t="s">
        <v>69</v>
      </c>
      <c r="B84" s="651"/>
      <c r="C84" s="651"/>
      <c r="D84" s="651"/>
      <c r="E84" s="651"/>
      <c r="F84" s="651"/>
      <c r="G84" s="651"/>
      <c r="H84" s="290"/>
      <c r="I84" s="13"/>
      <c r="J84" s="13"/>
      <c r="K84" s="13"/>
      <c r="L84" s="13"/>
    </row>
    <row r="85" spans="1:12" s="15" customFormat="1" ht="21.75" customHeight="1">
      <c r="A85" s="639" t="s">
        <v>153</v>
      </c>
      <c r="B85" s="639"/>
      <c r="C85" s="639"/>
      <c r="D85" s="639"/>
      <c r="E85" s="639"/>
      <c r="F85" s="639"/>
      <c r="G85" s="639"/>
      <c r="H85" s="290"/>
      <c r="I85" s="13"/>
      <c r="J85" s="13"/>
      <c r="K85" s="13"/>
      <c r="L85" s="13"/>
    </row>
    <row r="86" spans="1:12" s="15" customFormat="1" ht="25.5" customHeight="1">
      <c r="A86" s="651" t="s">
        <v>112</v>
      </c>
      <c r="B86" s="651"/>
      <c r="C86" s="651"/>
      <c r="D86" s="651"/>
      <c r="E86" s="651"/>
      <c r="F86" s="651"/>
      <c r="G86" s="651"/>
      <c r="H86" s="290"/>
      <c r="I86" s="13"/>
      <c r="J86" s="13"/>
      <c r="K86" s="13"/>
      <c r="L86" s="13"/>
    </row>
    <row r="87" spans="1:12" s="15" customFormat="1" ht="23.25" customHeight="1">
      <c r="A87" s="635" t="s">
        <v>154</v>
      </c>
      <c r="B87" s="635"/>
      <c r="C87" s="635"/>
      <c r="D87" s="635"/>
      <c r="E87" s="635"/>
      <c r="F87" s="635"/>
      <c r="G87" s="635"/>
      <c r="H87" s="290"/>
      <c r="I87" s="13"/>
      <c r="J87" s="13"/>
      <c r="K87" s="13"/>
      <c r="L87" s="13"/>
    </row>
    <row r="88" spans="1:12" s="39" customFormat="1" ht="50.25" customHeight="1">
      <c r="A88" s="388" t="s">
        <v>51</v>
      </c>
      <c r="B88" s="379" t="s">
        <v>0</v>
      </c>
      <c r="C88" s="380" t="s">
        <v>252</v>
      </c>
      <c r="D88" s="380" t="s">
        <v>60</v>
      </c>
      <c r="E88" s="380" t="s">
        <v>228</v>
      </c>
      <c r="F88" s="380" t="s">
        <v>177</v>
      </c>
      <c r="G88" s="389" t="s">
        <v>43</v>
      </c>
      <c r="H88" s="292"/>
      <c r="I88" s="40"/>
      <c r="J88" s="40"/>
      <c r="K88" s="40"/>
      <c r="L88" s="40"/>
    </row>
    <row r="89" spans="1:12" s="27" customFormat="1" ht="19.5" customHeight="1">
      <c r="A89" s="128"/>
      <c r="B89" s="11" t="s">
        <v>22</v>
      </c>
      <c r="C89" s="11">
        <v>2</v>
      </c>
      <c r="D89" s="11">
        <v>3</v>
      </c>
      <c r="E89" s="11">
        <v>4</v>
      </c>
      <c r="F89" s="11">
        <v>5</v>
      </c>
      <c r="G89" s="390">
        <v>6</v>
      </c>
      <c r="H89" s="293"/>
      <c r="I89" s="29"/>
      <c r="J89" s="29"/>
      <c r="K89" s="29"/>
      <c r="L89" s="29"/>
    </row>
    <row r="90" spans="1:12" s="15" customFormat="1" ht="24.75" customHeight="1">
      <c r="A90" s="137">
        <v>1</v>
      </c>
      <c r="B90" s="10" t="s">
        <v>176</v>
      </c>
      <c r="C90" s="124">
        <f aca="true" t="shared" si="5" ref="C90:C106">F35</f>
        <v>21737.666666666668</v>
      </c>
      <c r="D90" s="123">
        <v>435.03</v>
      </c>
      <c r="E90" s="124">
        <f>$C$75-C90</f>
        <v>8374.333333333332</v>
      </c>
      <c r="F90" s="391">
        <f aca="true" t="shared" si="6" ref="F90:F106">D90*E90</f>
        <v>3643086.229999999</v>
      </c>
      <c r="G90" s="138">
        <f aca="true" t="shared" si="7" ref="G90:G106">F90/$F$107*100</f>
        <v>6.34066811082534</v>
      </c>
      <c r="H90" s="288"/>
      <c r="I90" s="13"/>
      <c r="J90" s="13"/>
      <c r="K90" s="13"/>
      <c r="L90" s="13"/>
    </row>
    <row r="91" spans="1:12" s="15" customFormat="1" ht="24.75" customHeight="1">
      <c r="A91" s="137">
        <v>2</v>
      </c>
      <c r="B91" s="10" t="s">
        <v>52</v>
      </c>
      <c r="C91" s="124">
        <f t="shared" si="5"/>
        <v>6628.666666666667</v>
      </c>
      <c r="D91" s="123">
        <v>421.26</v>
      </c>
      <c r="E91" s="124">
        <f>$C$75-C91</f>
        <v>23483.333333333332</v>
      </c>
      <c r="F91" s="391">
        <f t="shared" si="6"/>
        <v>9892589</v>
      </c>
      <c r="G91" s="138">
        <f t="shared" si="7"/>
        <v>17.21771587212789</v>
      </c>
      <c r="H91" s="288"/>
      <c r="I91" s="13"/>
      <c r="J91" s="13"/>
      <c r="K91" s="13"/>
      <c r="L91" s="13"/>
    </row>
    <row r="92" spans="1:12" s="15" customFormat="1" ht="24.75" customHeight="1">
      <c r="A92" s="137">
        <v>3</v>
      </c>
      <c r="B92" s="10" t="s">
        <v>142</v>
      </c>
      <c r="C92" s="124">
        <f t="shared" si="5"/>
        <v>15386</v>
      </c>
      <c r="D92" s="123">
        <v>116.38</v>
      </c>
      <c r="E92" s="124">
        <f>$C$75-C92</f>
        <v>14726</v>
      </c>
      <c r="F92" s="391">
        <f t="shared" si="6"/>
        <v>1713811.88</v>
      </c>
      <c r="G92" s="138">
        <f t="shared" si="7"/>
        <v>2.9828314921520884</v>
      </c>
      <c r="H92" s="288"/>
      <c r="I92" s="13"/>
      <c r="J92" s="13"/>
      <c r="K92" s="13"/>
      <c r="L92" s="13"/>
    </row>
    <row r="93" spans="1:12" s="15" customFormat="1" ht="24.75" customHeight="1">
      <c r="A93" s="137">
        <v>4</v>
      </c>
      <c r="B93" s="10" t="s">
        <v>5</v>
      </c>
      <c r="C93" s="124">
        <f t="shared" si="5"/>
        <v>59560.666666666664</v>
      </c>
      <c r="D93" s="123">
        <v>7.95</v>
      </c>
      <c r="E93" s="384">
        <v>917.6666666666679</v>
      </c>
      <c r="F93" s="391">
        <f t="shared" si="6"/>
        <v>7295.45000000001</v>
      </c>
      <c r="G93" s="138">
        <f t="shared" si="7"/>
        <v>0.01269748346558374</v>
      </c>
      <c r="H93" s="288"/>
      <c r="I93" s="13"/>
      <c r="J93" s="13"/>
      <c r="K93" s="13"/>
      <c r="L93" s="13"/>
    </row>
    <row r="94" spans="1:12" s="15" customFormat="1" ht="24.75" customHeight="1">
      <c r="A94" s="137">
        <v>5</v>
      </c>
      <c r="B94" s="10" t="s">
        <v>6</v>
      </c>
      <c r="C94" s="124">
        <f t="shared" si="5"/>
        <v>25415.333333333332</v>
      </c>
      <c r="D94" s="123">
        <v>266.97</v>
      </c>
      <c r="E94" s="124">
        <f aca="true" t="shared" si="8" ref="E94:E101">$C$75-C94</f>
        <v>4696.666666666668</v>
      </c>
      <c r="F94" s="391">
        <f t="shared" si="6"/>
        <v>1253869.1000000006</v>
      </c>
      <c r="G94" s="138">
        <f t="shared" si="7"/>
        <v>2.182316672070448</v>
      </c>
      <c r="H94" s="288"/>
      <c r="I94" s="13"/>
      <c r="J94" s="13"/>
      <c r="K94" s="13"/>
      <c r="L94" s="13"/>
    </row>
    <row r="95" spans="1:12" s="15" customFormat="1" ht="24.75" customHeight="1">
      <c r="A95" s="137">
        <v>6</v>
      </c>
      <c r="B95" s="10" t="s">
        <v>7</v>
      </c>
      <c r="C95" s="124">
        <f t="shared" si="5"/>
        <v>28689.666666666668</v>
      </c>
      <c r="D95" s="123">
        <v>100.37</v>
      </c>
      <c r="E95" s="124">
        <f t="shared" si="8"/>
        <v>1422.3333333333321</v>
      </c>
      <c r="F95" s="391">
        <f t="shared" si="6"/>
        <v>142759.59666666656</v>
      </c>
      <c r="G95" s="138">
        <f t="shared" si="7"/>
        <v>0.2484682395504595</v>
      </c>
      <c r="H95" s="288"/>
      <c r="I95" s="13"/>
      <c r="J95" s="13"/>
      <c r="K95" s="13"/>
      <c r="L95" s="13"/>
    </row>
    <row r="96" spans="1:12" s="15" customFormat="1" ht="24.75" customHeight="1">
      <c r="A96" s="137">
        <v>7</v>
      </c>
      <c r="B96" s="10" t="s">
        <v>143</v>
      </c>
      <c r="C96" s="124">
        <f t="shared" si="5"/>
        <v>14063.666666666666</v>
      </c>
      <c r="D96" s="123">
        <v>142.27</v>
      </c>
      <c r="E96" s="124">
        <f t="shared" si="8"/>
        <v>16048.333333333334</v>
      </c>
      <c r="F96" s="391">
        <f t="shared" si="6"/>
        <v>2283196.383333334</v>
      </c>
      <c r="G96" s="138">
        <f t="shared" si="7"/>
        <v>3.9738259224661343</v>
      </c>
      <c r="H96" s="288"/>
      <c r="I96" s="13"/>
      <c r="J96" s="13"/>
      <c r="K96" s="13"/>
      <c r="L96" s="13"/>
    </row>
    <row r="97" spans="1:12" s="15" customFormat="1" ht="24.75" customHeight="1">
      <c r="A97" s="137">
        <v>8</v>
      </c>
      <c r="B97" s="10" t="s">
        <v>8</v>
      </c>
      <c r="C97" s="124">
        <f t="shared" si="5"/>
        <v>22264.333333333332</v>
      </c>
      <c r="D97" s="123">
        <v>292.99</v>
      </c>
      <c r="E97" s="124">
        <f t="shared" si="8"/>
        <v>7847.666666666668</v>
      </c>
      <c r="F97" s="391">
        <f t="shared" si="6"/>
        <v>2299287.856666667</v>
      </c>
      <c r="G97" s="138">
        <f t="shared" si="7"/>
        <v>4.00183258642612</v>
      </c>
      <c r="H97" s="288"/>
      <c r="I97" s="13"/>
      <c r="J97" s="13"/>
      <c r="K97" s="13"/>
      <c r="L97" s="13"/>
    </row>
    <row r="98" spans="1:12" s="15" customFormat="1" ht="24.75" customHeight="1">
      <c r="A98" s="137">
        <v>9</v>
      </c>
      <c r="B98" s="10" t="s">
        <v>9</v>
      </c>
      <c r="C98" s="124">
        <f t="shared" si="5"/>
        <v>26493.666666666668</v>
      </c>
      <c r="D98" s="123">
        <v>213.47</v>
      </c>
      <c r="E98" s="124">
        <f t="shared" si="8"/>
        <v>3618.333333333332</v>
      </c>
      <c r="F98" s="391">
        <f t="shared" si="6"/>
        <v>772405.6166666663</v>
      </c>
      <c r="G98" s="138">
        <f t="shared" si="7"/>
        <v>1.344345797222789</v>
      </c>
      <c r="H98" s="288"/>
      <c r="I98" s="13"/>
      <c r="J98" s="13"/>
      <c r="K98" s="13"/>
      <c r="L98" s="13"/>
    </row>
    <row r="99" spans="1:12" s="15" customFormat="1" ht="24.75" customHeight="1">
      <c r="A99" s="137">
        <v>10</v>
      </c>
      <c r="B99" s="10" t="s">
        <v>53</v>
      </c>
      <c r="C99" s="124">
        <f t="shared" si="5"/>
        <v>13774.666666666666</v>
      </c>
      <c r="D99" s="123">
        <v>300.16</v>
      </c>
      <c r="E99" s="124">
        <f t="shared" si="8"/>
        <v>16337.333333333334</v>
      </c>
      <c r="F99" s="391">
        <f t="shared" si="6"/>
        <v>4903813.973333334</v>
      </c>
      <c r="G99" s="138">
        <f t="shared" si="7"/>
        <v>8.534922019162412</v>
      </c>
      <c r="H99" s="288"/>
      <c r="I99" s="13"/>
      <c r="J99" s="13"/>
      <c r="K99" s="13"/>
      <c r="L99" s="13"/>
    </row>
    <row r="100" spans="1:12" s="15" customFormat="1" ht="24.75" customHeight="1">
      <c r="A100" s="137">
        <v>11</v>
      </c>
      <c r="B100" s="10" t="s">
        <v>11</v>
      </c>
      <c r="C100" s="124">
        <f t="shared" si="5"/>
        <v>29194.333333333332</v>
      </c>
      <c r="D100" s="123">
        <v>504.12</v>
      </c>
      <c r="E100" s="384">
        <f t="shared" si="8"/>
        <v>917.6666666666679</v>
      </c>
      <c r="F100" s="391">
        <f t="shared" si="6"/>
        <v>462614.12000000064</v>
      </c>
      <c r="G100" s="138">
        <f t="shared" si="7"/>
        <v>0.805164196813846</v>
      </c>
      <c r="H100" s="288"/>
      <c r="I100" s="13"/>
      <c r="J100" s="13"/>
      <c r="K100" s="13"/>
      <c r="L100" s="13"/>
    </row>
    <row r="101" spans="1:12" s="15" customFormat="1" ht="24.75" customHeight="1">
      <c r="A101" s="137">
        <v>12</v>
      </c>
      <c r="B101" s="10" t="s">
        <v>59</v>
      </c>
      <c r="C101" s="124">
        <f t="shared" si="5"/>
        <v>13867.666666666666</v>
      </c>
      <c r="D101" s="123">
        <v>219.45</v>
      </c>
      <c r="E101" s="124">
        <f t="shared" si="8"/>
        <v>16244.333333333334</v>
      </c>
      <c r="F101" s="391">
        <f t="shared" si="6"/>
        <v>3564818.9499999997</v>
      </c>
      <c r="G101" s="138">
        <f t="shared" si="7"/>
        <v>6.204446562641719</v>
      </c>
      <c r="H101" s="288"/>
      <c r="I101" s="13"/>
      <c r="J101" s="13"/>
      <c r="K101" s="13"/>
      <c r="L101" s="13"/>
    </row>
    <row r="102" spans="1:12" s="15" customFormat="1" ht="24.75" customHeight="1">
      <c r="A102" s="137">
        <v>13</v>
      </c>
      <c r="B102" s="10" t="s">
        <v>13</v>
      </c>
      <c r="C102" s="384">
        <f t="shared" si="5"/>
        <v>30112</v>
      </c>
      <c r="D102" s="123">
        <v>135.51</v>
      </c>
      <c r="E102" s="384">
        <v>917.6666666666679</v>
      </c>
      <c r="F102" s="391">
        <f t="shared" si="6"/>
        <v>124353.01000000015</v>
      </c>
      <c r="G102" s="138">
        <f t="shared" si="7"/>
        <v>0.21643219929827076</v>
      </c>
      <c r="H102" s="288"/>
      <c r="I102" s="13"/>
      <c r="J102" s="13"/>
      <c r="K102" s="13"/>
      <c r="L102" s="13"/>
    </row>
    <row r="103" spans="1:12" s="15" customFormat="1" ht="24.75" customHeight="1">
      <c r="A103" s="137">
        <v>14</v>
      </c>
      <c r="B103" s="10" t="s">
        <v>56</v>
      </c>
      <c r="C103" s="124">
        <f t="shared" si="5"/>
        <v>15123.666666666666</v>
      </c>
      <c r="D103" s="123">
        <v>257.66</v>
      </c>
      <c r="E103" s="124">
        <f>$C$75-C103</f>
        <v>14988.333333333334</v>
      </c>
      <c r="F103" s="391">
        <f t="shared" si="6"/>
        <v>3861893.9666666673</v>
      </c>
      <c r="G103" s="138">
        <f t="shared" si="7"/>
        <v>6.721495560601134</v>
      </c>
      <c r="H103" s="288"/>
      <c r="I103" s="13"/>
      <c r="J103" s="13"/>
      <c r="K103" s="13"/>
      <c r="L103" s="13"/>
    </row>
    <row r="104" spans="1:12" s="15" customFormat="1" ht="24.75" customHeight="1">
      <c r="A104" s="137">
        <v>15</v>
      </c>
      <c r="B104" s="10" t="s">
        <v>15</v>
      </c>
      <c r="C104" s="124">
        <f t="shared" si="5"/>
        <v>24948.333333333332</v>
      </c>
      <c r="D104" s="123">
        <v>411.99</v>
      </c>
      <c r="E104" s="124">
        <f>$C$75-C104</f>
        <v>5163.666666666668</v>
      </c>
      <c r="F104" s="391">
        <f t="shared" si="6"/>
        <v>2127379.0300000007</v>
      </c>
      <c r="G104" s="138">
        <f t="shared" si="7"/>
        <v>3.702631099994455</v>
      </c>
      <c r="H104" s="288"/>
      <c r="I104" s="13"/>
      <c r="J104" s="13"/>
      <c r="K104" s="13"/>
      <c r="L104" s="13"/>
    </row>
    <row r="105" spans="1:12" s="15" customFormat="1" ht="24.75" customHeight="1">
      <c r="A105" s="137">
        <v>16</v>
      </c>
      <c r="B105" s="10" t="s">
        <v>57</v>
      </c>
      <c r="C105" s="124">
        <f t="shared" si="5"/>
        <v>11682.666666666666</v>
      </c>
      <c r="D105" s="123">
        <v>840.21</v>
      </c>
      <c r="E105" s="124">
        <f>$C$75-C105</f>
        <v>18429.333333333336</v>
      </c>
      <c r="F105" s="391">
        <f t="shared" si="6"/>
        <v>15484510.160000002</v>
      </c>
      <c r="G105" s="138">
        <f t="shared" si="7"/>
        <v>26.95026512816388</v>
      </c>
      <c r="H105" s="288"/>
      <c r="I105" s="13"/>
      <c r="J105" s="13"/>
      <c r="K105" s="13"/>
      <c r="L105" s="13"/>
    </row>
    <row r="106" spans="1:12" s="15" customFormat="1" ht="24.75" customHeight="1">
      <c r="A106" s="137">
        <v>17</v>
      </c>
      <c r="B106" s="10" t="s">
        <v>58</v>
      </c>
      <c r="C106" s="124">
        <f t="shared" si="5"/>
        <v>19013</v>
      </c>
      <c r="D106" s="123">
        <v>443.12</v>
      </c>
      <c r="E106" s="124">
        <f>$C$75-C106</f>
        <v>11099</v>
      </c>
      <c r="F106" s="391">
        <f t="shared" si="6"/>
        <v>4918188.88</v>
      </c>
      <c r="G106" s="138">
        <f t="shared" si="7"/>
        <v>8.559941057017419</v>
      </c>
      <c r="H106" s="288"/>
      <c r="I106" s="13"/>
      <c r="J106" s="13"/>
      <c r="K106" s="13"/>
      <c r="L106" s="13"/>
    </row>
    <row r="107" spans="1:12" s="15" customFormat="1" ht="24.75" customHeight="1">
      <c r="A107" s="137"/>
      <c r="B107" s="392" t="s">
        <v>35</v>
      </c>
      <c r="C107" s="376" t="s">
        <v>227</v>
      </c>
      <c r="D107" s="123">
        <f>SUM(D90:D106)</f>
        <v>5108.909999999999</v>
      </c>
      <c r="E107" s="124">
        <f>SUM(E90:E106)</f>
        <v>165232</v>
      </c>
      <c r="F107" s="391">
        <f>SUM(F90:F106)</f>
        <v>57455873.20333334</v>
      </c>
      <c r="G107" s="138">
        <f>SUM(G90:G106)</f>
        <v>99.99999999999997</v>
      </c>
      <c r="H107" s="288"/>
      <c r="I107" s="13"/>
      <c r="J107" s="13"/>
      <c r="K107" s="13"/>
      <c r="L107" s="13"/>
    </row>
    <row r="108" spans="2:12" s="15" customFormat="1" ht="24.75" customHeight="1">
      <c r="B108" s="23" t="s">
        <v>178</v>
      </c>
      <c r="C108" s="20"/>
      <c r="D108" s="20"/>
      <c r="E108" s="20"/>
      <c r="F108" s="20"/>
      <c r="G108" s="20"/>
      <c r="H108" s="13"/>
      <c r="I108" s="13"/>
      <c r="J108" s="13"/>
      <c r="K108" s="13"/>
      <c r="L108" s="13"/>
    </row>
    <row r="109" spans="2:12" s="15" customFormat="1" ht="21" customHeight="1">
      <c r="B109" s="23" t="s">
        <v>185</v>
      </c>
      <c r="C109" s="20"/>
      <c r="D109" s="20"/>
      <c r="E109" s="20"/>
      <c r="F109" s="20"/>
      <c r="G109" s="20"/>
      <c r="H109" s="13"/>
      <c r="I109" s="13"/>
      <c r="J109" s="13"/>
      <c r="K109" s="13"/>
      <c r="L109" s="13"/>
    </row>
    <row r="110" spans="2:12" s="15" customFormat="1" ht="18" customHeight="1">
      <c r="B110" s="23" t="s">
        <v>61</v>
      </c>
      <c r="C110" s="20"/>
      <c r="D110" s="20"/>
      <c r="E110" s="20"/>
      <c r="F110" s="20"/>
      <c r="G110" s="20"/>
      <c r="H110" s="13"/>
      <c r="I110" s="13"/>
      <c r="J110" s="13"/>
      <c r="K110" s="13"/>
      <c r="L110" s="13"/>
    </row>
    <row r="111" spans="1:12" ht="15.75">
      <c r="A111" s="654"/>
      <c r="B111" s="654"/>
      <c r="C111" s="654"/>
      <c r="D111" s="654"/>
      <c r="E111" s="654"/>
      <c r="F111" s="654"/>
      <c r="G111" s="654"/>
      <c r="H111" s="654"/>
      <c r="I111" s="41"/>
      <c r="J111" s="13"/>
      <c r="K111" s="13"/>
      <c r="L111" s="20"/>
    </row>
    <row r="112" spans="1:14" ht="28.5" customHeight="1">
      <c r="A112" s="15"/>
      <c r="B112" s="18"/>
      <c r="C112" s="29"/>
      <c r="D112" s="29"/>
      <c r="E112" s="29"/>
      <c r="F112" s="29"/>
      <c r="G112" s="29"/>
      <c r="H112" s="29"/>
      <c r="I112" s="29"/>
      <c r="J112" s="29"/>
      <c r="K112" s="29"/>
      <c r="L112" s="29"/>
      <c r="M112" s="29"/>
      <c r="N112" s="29"/>
    </row>
    <row r="113" spans="1:14" ht="28.5" customHeight="1">
      <c r="A113" s="15"/>
      <c r="B113" s="18"/>
      <c r="C113" s="29"/>
      <c r="D113" s="29"/>
      <c r="E113" s="29"/>
      <c r="F113" s="29"/>
      <c r="G113" s="29"/>
      <c r="H113" s="29"/>
      <c r="I113" s="29"/>
      <c r="J113" s="29"/>
      <c r="K113" s="29"/>
      <c r="L113" s="29"/>
      <c r="M113" s="29"/>
      <c r="N113" s="29"/>
    </row>
    <row r="114" spans="1:14" ht="28.5" customHeight="1">
      <c r="A114" s="15"/>
      <c r="B114" s="18"/>
      <c r="C114" s="29"/>
      <c r="D114" s="29"/>
      <c r="E114" s="29"/>
      <c r="F114" s="29"/>
      <c r="G114" s="29"/>
      <c r="H114" s="29"/>
      <c r="I114" s="29"/>
      <c r="J114" s="29"/>
      <c r="K114" s="29"/>
      <c r="L114" s="29"/>
      <c r="M114" s="29"/>
      <c r="N114" s="29"/>
    </row>
    <row r="115" spans="1:14" ht="28.5" customHeight="1">
      <c r="A115" s="15"/>
      <c r="B115" s="18"/>
      <c r="C115" s="29"/>
      <c r="D115" s="29"/>
      <c r="E115" s="29"/>
      <c r="F115" s="29"/>
      <c r="G115" s="29"/>
      <c r="H115" s="29"/>
      <c r="I115" s="55"/>
      <c r="J115" s="55"/>
      <c r="K115" s="55"/>
      <c r="L115" s="55"/>
      <c r="M115" s="29"/>
      <c r="N115" s="29"/>
    </row>
    <row r="116" spans="1:14" ht="28.5" customHeight="1">
      <c r="A116" s="15"/>
      <c r="B116" s="18"/>
      <c r="C116" s="29"/>
      <c r="D116" s="29"/>
      <c r="E116" s="29"/>
      <c r="F116" s="29"/>
      <c r="G116" s="29"/>
      <c r="H116" s="29"/>
      <c r="I116" s="55"/>
      <c r="J116" s="55"/>
      <c r="K116" s="55"/>
      <c r="L116" s="55"/>
      <c r="M116" s="29"/>
      <c r="N116" s="29"/>
    </row>
    <row r="117" spans="1:14" ht="28.5" customHeight="1">
      <c r="A117" s="15"/>
      <c r="B117" s="18"/>
      <c r="C117" s="29"/>
      <c r="D117" s="29"/>
      <c r="E117" s="29"/>
      <c r="F117" s="29"/>
      <c r="G117" s="29"/>
      <c r="H117" s="29"/>
      <c r="I117" s="55"/>
      <c r="J117" s="55"/>
      <c r="K117" s="55"/>
      <c r="L117" s="55"/>
      <c r="M117" s="29"/>
      <c r="N117" s="29"/>
    </row>
    <row r="118" spans="1:14" ht="28.5" customHeight="1">
      <c r="A118" s="15"/>
      <c r="B118" s="18"/>
      <c r="C118" s="29"/>
      <c r="D118" s="29"/>
      <c r="E118" s="29"/>
      <c r="F118" s="29"/>
      <c r="G118" s="29"/>
      <c r="H118" s="29"/>
      <c r="I118" s="55"/>
      <c r="J118" s="55"/>
      <c r="K118" s="55"/>
      <c r="L118" s="55"/>
      <c r="M118" s="29"/>
      <c r="N118" s="29"/>
    </row>
    <row r="119" spans="1:14" ht="28.5" customHeight="1">
      <c r="A119" s="15"/>
      <c r="B119" s="18"/>
      <c r="C119" s="29"/>
      <c r="D119" s="29"/>
      <c r="E119" s="29"/>
      <c r="F119" s="29"/>
      <c r="G119" s="29"/>
      <c r="H119" s="29"/>
      <c r="I119" s="55"/>
      <c r="J119" s="55"/>
      <c r="K119" s="55"/>
      <c r="L119" s="55"/>
      <c r="M119" s="29"/>
      <c r="N119" s="29"/>
    </row>
    <row r="120" spans="1:14" ht="28.5" customHeight="1">
      <c r="A120" s="15"/>
      <c r="B120" s="18"/>
      <c r="C120" s="29"/>
      <c r="D120" s="29"/>
      <c r="E120" s="29"/>
      <c r="F120" s="29"/>
      <c r="G120" s="29"/>
      <c r="H120" s="29"/>
      <c r="I120" s="55"/>
      <c r="J120" s="55"/>
      <c r="K120" s="55"/>
      <c r="L120" s="55"/>
      <c r="M120" s="29"/>
      <c r="N120" s="29"/>
    </row>
    <row r="121" spans="1:14" ht="28.5" customHeight="1">
      <c r="A121" s="15"/>
      <c r="B121" s="18"/>
      <c r="C121" s="29"/>
      <c r="D121" s="29"/>
      <c r="E121" s="29"/>
      <c r="F121" s="29"/>
      <c r="G121" s="29"/>
      <c r="H121" s="29"/>
      <c r="I121" s="55"/>
      <c r="J121" s="55"/>
      <c r="K121" s="55"/>
      <c r="L121" s="55"/>
      <c r="M121" s="29"/>
      <c r="N121" s="29"/>
    </row>
    <row r="122" spans="1:14" ht="28.5" customHeight="1">
      <c r="A122" s="15"/>
      <c r="B122" s="18"/>
      <c r="C122" s="29"/>
      <c r="D122" s="29"/>
      <c r="E122" s="29"/>
      <c r="F122" s="29"/>
      <c r="G122" s="29"/>
      <c r="H122" s="29"/>
      <c r="I122" s="55"/>
      <c r="J122" s="55"/>
      <c r="K122" s="55"/>
      <c r="L122" s="55"/>
      <c r="M122" s="29"/>
      <c r="N122" s="29"/>
    </row>
    <row r="123" spans="1:14" ht="28.5" customHeight="1">
      <c r="A123" s="15"/>
      <c r="B123" s="18"/>
      <c r="C123" s="29"/>
      <c r="D123" s="29"/>
      <c r="E123" s="29"/>
      <c r="F123" s="29"/>
      <c r="G123" s="29"/>
      <c r="H123" s="29"/>
      <c r="I123" s="55"/>
      <c r="J123" s="55"/>
      <c r="K123" s="55"/>
      <c r="L123" s="55"/>
      <c r="M123" s="29"/>
      <c r="N123" s="29"/>
    </row>
    <row r="124" spans="1:14" ht="28.5" customHeight="1">
      <c r="A124" s="15"/>
      <c r="B124" s="18"/>
      <c r="C124" s="29"/>
      <c r="D124" s="29"/>
      <c r="E124" s="29"/>
      <c r="F124" s="29"/>
      <c r="G124" s="29"/>
      <c r="H124" s="29"/>
      <c r="I124" s="55"/>
      <c r="J124" s="55"/>
      <c r="K124" s="55"/>
      <c r="L124" s="55"/>
      <c r="M124" s="29"/>
      <c r="N124" s="29"/>
    </row>
    <row r="125" spans="1:14" ht="28.5" customHeight="1">
      <c r="A125" s="15"/>
      <c r="B125" s="18"/>
      <c r="C125" s="29"/>
      <c r="D125" s="29"/>
      <c r="E125" s="29"/>
      <c r="F125" s="29"/>
      <c r="G125" s="29"/>
      <c r="H125" s="29"/>
      <c r="I125" s="55"/>
      <c r="J125" s="55"/>
      <c r="K125" s="55"/>
      <c r="L125" s="55"/>
      <c r="M125" s="29"/>
      <c r="N125" s="29"/>
    </row>
    <row r="126" spans="1:14" ht="28.5" customHeight="1">
      <c r="A126" s="15"/>
      <c r="B126" s="18"/>
      <c r="C126" s="29"/>
      <c r="D126" s="29"/>
      <c r="E126" s="29"/>
      <c r="F126" s="29"/>
      <c r="G126" s="29"/>
      <c r="H126" s="29"/>
      <c r="I126" s="55"/>
      <c r="J126" s="55"/>
      <c r="K126" s="55"/>
      <c r="L126" s="55"/>
      <c r="M126" s="29"/>
      <c r="N126" s="29"/>
    </row>
    <row r="127" spans="1:14" ht="28.5" customHeight="1" thickBot="1">
      <c r="A127" s="42"/>
      <c r="B127" s="49"/>
      <c r="C127" s="56"/>
      <c r="D127" s="56"/>
      <c r="E127" s="56"/>
      <c r="F127" s="56"/>
      <c r="G127" s="56"/>
      <c r="H127" s="56"/>
      <c r="I127" s="56"/>
      <c r="J127" s="56"/>
      <c r="K127" s="56"/>
      <c r="L127" s="56"/>
      <c r="M127" s="56"/>
      <c r="N127" s="56"/>
    </row>
    <row r="128" spans="1:14" ht="20.25" customHeight="1">
      <c r="A128" s="15"/>
      <c r="B128" s="18"/>
      <c r="C128" s="13"/>
      <c r="D128" s="13"/>
      <c r="E128" s="13"/>
      <c r="F128" s="13"/>
      <c r="G128" s="13"/>
      <c r="H128" s="16"/>
      <c r="I128" s="36"/>
      <c r="J128" s="20"/>
      <c r="K128" s="20"/>
      <c r="L128" s="20"/>
      <c r="M128" s="20"/>
      <c r="N128" s="20"/>
    </row>
    <row r="129" spans="1:12" ht="20.25" customHeight="1">
      <c r="A129" s="15"/>
      <c r="B129" s="18"/>
      <c r="C129" s="13"/>
      <c r="D129" s="13"/>
      <c r="E129" s="13"/>
      <c r="F129" s="13"/>
      <c r="G129" s="59"/>
      <c r="H129" s="16"/>
      <c r="I129" s="37"/>
      <c r="J129" s="20"/>
      <c r="K129" s="20"/>
      <c r="L129" s="20"/>
    </row>
    <row r="130" spans="1:12" ht="20.25" customHeight="1">
      <c r="A130" s="15"/>
      <c r="B130" s="18"/>
      <c r="C130" s="13"/>
      <c r="D130" s="13"/>
      <c r="E130" s="13"/>
      <c r="F130" s="13"/>
      <c r="G130" s="13"/>
      <c r="H130" s="16"/>
      <c r="I130" s="37"/>
      <c r="J130" s="20"/>
      <c r="K130" s="20"/>
      <c r="L130" s="20"/>
    </row>
    <row r="131" spans="1:14" ht="20.25" customHeight="1">
      <c r="A131" s="15"/>
      <c r="B131" s="18"/>
      <c r="C131" s="13"/>
      <c r="D131" s="13"/>
      <c r="E131" s="13"/>
      <c r="F131" s="13"/>
      <c r="G131" s="13"/>
      <c r="H131" s="16"/>
      <c r="I131" s="37"/>
      <c r="J131" s="20"/>
      <c r="K131" s="20"/>
      <c r="L131" s="20"/>
      <c r="M131" s="20"/>
      <c r="N131" s="20"/>
    </row>
    <row r="132" spans="1:12" ht="20.25" customHeight="1">
      <c r="A132" s="15"/>
      <c r="B132" s="18"/>
      <c r="C132" s="13"/>
      <c r="D132" s="13"/>
      <c r="E132" s="13"/>
      <c r="F132" s="13"/>
      <c r="G132" s="13"/>
      <c r="H132" s="16"/>
      <c r="I132" s="37"/>
      <c r="J132" s="20"/>
      <c r="K132" s="20"/>
      <c r="L132" s="20"/>
    </row>
    <row r="133" spans="1:14" ht="20.25" customHeight="1">
      <c r="A133" s="15"/>
      <c r="B133" s="18"/>
      <c r="C133" s="13"/>
      <c r="D133" s="13"/>
      <c r="E133" s="13"/>
      <c r="F133" s="13"/>
      <c r="G133" s="13"/>
      <c r="H133" s="16"/>
      <c r="I133" s="37"/>
      <c r="J133" s="20"/>
      <c r="K133" s="20"/>
      <c r="L133" s="20"/>
      <c r="M133" s="20"/>
      <c r="N133" s="20"/>
    </row>
    <row r="134" spans="1:14" ht="20.25" customHeight="1">
      <c r="A134" s="15"/>
      <c r="B134" s="18"/>
      <c r="C134" s="13"/>
      <c r="D134" s="13"/>
      <c r="E134" s="13"/>
      <c r="F134" s="13"/>
      <c r="G134" s="13"/>
      <c r="H134" s="16"/>
      <c r="I134" s="37"/>
      <c r="J134" s="20"/>
      <c r="K134" s="20"/>
      <c r="L134" s="20"/>
      <c r="M134" s="20"/>
      <c r="N134" s="20"/>
    </row>
    <row r="135" spans="1:12" ht="20.25" customHeight="1">
      <c r="A135" s="15"/>
      <c r="B135" s="18"/>
      <c r="C135" s="13"/>
      <c r="D135" s="13"/>
      <c r="E135" s="13"/>
      <c r="F135" s="13"/>
      <c r="G135" s="13"/>
      <c r="H135" s="16"/>
      <c r="I135" s="37"/>
      <c r="J135" s="20"/>
      <c r="K135" s="20"/>
      <c r="L135" s="20"/>
    </row>
    <row r="136" spans="1:14" ht="20.25" customHeight="1">
      <c r="A136" s="15"/>
      <c r="B136" s="18"/>
      <c r="C136" s="13"/>
      <c r="D136" s="13"/>
      <c r="E136" s="13"/>
      <c r="F136" s="13"/>
      <c r="G136" s="13"/>
      <c r="H136" s="16"/>
      <c r="I136" s="37"/>
      <c r="J136" s="20"/>
      <c r="K136" s="20"/>
      <c r="L136" s="20"/>
      <c r="M136" s="20"/>
      <c r="N136" s="20"/>
    </row>
    <row r="137" spans="1:12" ht="20.25" customHeight="1">
      <c r="A137" s="15"/>
      <c r="B137" s="18"/>
      <c r="C137" s="13"/>
      <c r="D137" s="13"/>
      <c r="E137" s="13"/>
      <c r="F137" s="13"/>
      <c r="G137" s="13"/>
      <c r="H137" s="16"/>
      <c r="I137" s="37"/>
      <c r="J137" s="20"/>
      <c r="K137" s="20"/>
      <c r="L137" s="20"/>
    </row>
    <row r="138" spans="1:12" ht="20.25" customHeight="1">
      <c r="A138" s="15"/>
      <c r="B138" s="18"/>
      <c r="C138" s="13"/>
      <c r="D138" s="13"/>
      <c r="E138" s="13"/>
      <c r="F138" s="13"/>
      <c r="G138" s="13"/>
      <c r="H138" s="16"/>
      <c r="I138" s="37"/>
      <c r="J138" s="20"/>
      <c r="K138" s="20"/>
      <c r="L138" s="20"/>
    </row>
    <row r="139" spans="1:12" ht="20.25" customHeight="1">
      <c r="A139" s="15"/>
      <c r="B139" s="18"/>
      <c r="C139" s="13"/>
      <c r="D139" s="13"/>
      <c r="E139" s="13"/>
      <c r="F139" s="13"/>
      <c r="G139" s="13"/>
      <c r="H139" s="16"/>
      <c r="I139" s="37"/>
      <c r="J139" s="20"/>
      <c r="K139" s="20"/>
      <c r="L139" s="20"/>
    </row>
    <row r="140" spans="1:12" ht="20.25" customHeight="1">
      <c r="A140" s="15"/>
      <c r="B140" s="18"/>
      <c r="C140" s="13"/>
      <c r="D140" s="13"/>
      <c r="E140" s="13"/>
      <c r="F140" s="13"/>
      <c r="G140" s="13"/>
      <c r="H140" s="16"/>
      <c r="I140" s="37"/>
      <c r="J140" s="20"/>
      <c r="K140" s="20"/>
      <c r="L140" s="20"/>
    </row>
    <row r="141" spans="1:12" ht="20.25" customHeight="1">
      <c r="A141" s="15"/>
      <c r="B141" s="18"/>
      <c r="C141" s="13"/>
      <c r="D141" s="13"/>
      <c r="E141" s="13"/>
      <c r="F141" s="13"/>
      <c r="G141" s="13"/>
      <c r="H141" s="16"/>
      <c r="I141" s="37"/>
      <c r="J141" s="20"/>
      <c r="K141" s="20"/>
      <c r="L141" s="20"/>
    </row>
    <row r="142" spans="1:12" ht="20.25" customHeight="1">
      <c r="A142" s="15"/>
      <c r="B142" s="18"/>
      <c r="C142" s="13"/>
      <c r="D142" s="13"/>
      <c r="E142" s="13"/>
      <c r="F142" s="13"/>
      <c r="G142" s="13"/>
      <c r="H142" s="16"/>
      <c r="I142" s="37"/>
      <c r="J142" s="20"/>
      <c r="K142" s="20"/>
      <c r="L142" s="20"/>
    </row>
    <row r="143" spans="1:12" ht="20.25" customHeight="1">
      <c r="A143" s="15"/>
      <c r="B143" s="18"/>
      <c r="C143" s="13"/>
      <c r="D143" s="13"/>
      <c r="E143" s="13"/>
      <c r="F143" s="13"/>
      <c r="G143" s="60"/>
      <c r="H143" s="16"/>
      <c r="I143" s="37"/>
      <c r="J143" s="20"/>
      <c r="K143" s="20"/>
      <c r="L143" s="20"/>
    </row>
    <row r="144" spans="1:12" ht="20.25" customHeight="1">
      <c r="A144" s="15"/>
      <c r="B144" s="18"/>
      <c r="C144" s="13"/>
      <c r="D144" s="13"/>
      <c r="E144" s="13"/>
      <c r="F144" s="13"/>
      <c r="G144" s="13"/>
      <c r="H144" s="16"/>
      <c r="I144" s="37"/>
      <c r="J144" s="20"/>
      <c r="K144" s="20"/>
      <c r="L144" s="20"/>
    </row>
    <row r="145" spans="1:12" ht="20.25" customHeight="1">
      <c r="A145" s="15"/>
      <c r="B145" s="43"/>
      <c r="C145" s="44"/>
      <c r="D145" s="44"/>
      <c r="E145" s="44"/>
      <c r="F145" s="44"/>
      <c r="G145" s="44"/>
      <c r="H145" s="61"/>
      <c r="I145" s="34"/>
      <c r="J145" s="20"/>
      <c r="K145" s="20"/>
      <c r="L145" s="20"/>
    </row>
    <row r="146" spans="1:9" ht="20.25" customHeight="1">
      <c r="A146" s="15"/>
      <c r="B146" s="19"/>
      <c r="C146" s="15"/>
      <c r="D146" s="15"/>
      <c r="E146" s="15"/>
      <c r="F146" s="15"/>
      <c r="G146" s="15"/>
      <c r="H146" s="15"/>
      <c r="I146" s="38"/>
    </row>
    <row r="147" spans="1:9" ht="20.25" customHeight="1">
      <c r="A147" s="15"/>
      <c r="B147" s="19"/>
      <c r="C147" s="15"/>
      <c r="D147" s="15"/>
      <c r="E147" s="15"/>
      <c r="F147" s="15"/>
      <c r="G147" s="15"/>
      <c r="H147" s="15"/>
      <c r="I147" s="38"/>
    </row>
    <row r="148" spans="1:9" ht="20.25" customHeight="1">
      <c r="A148" s="15"/>
      <c r="B148" s="32"/>
      <c r="C148" s="31"/>
      <c r="D148" s="31"/>
      <c r="E148" s="31"/>
      <c r="F148" s="31"/>
      <c r="G148" s="31"/>
      <c r="H148" s="31"/>
      <c r="I148" s="38"/>
    </row>
    <row r="149" spans="1:9" s="63" customFormat="1" ht="23.25" customHeight="1">
      <c r="A149" s="634"/>
      <c r="B149" s="634"/>
      <c r="C149" s="634"/>
      <c r="D149" s="634"/>
      <c r="E149" s="634"/>
      <c r="F149" s="634"/>
      <c r="G149" s="634"/>
      <c r="H149" s="69"/>
      <c r="I149" s="70"/>
    </row>
    <row r="150" spans="1:10" s="63" customFormat="1" ht="27" customHeight="1">
      <c r="A150" s="71"/>
      <c r="B150" s="625"/>
      <c r="C150" s="625"/>
      <c r="D150" s="625"/>
      <c r="E150" s="625"/>
      <c r="F150" s="625"/>
      <c r="G150" s="625"/>
      <c r="H150" s="72"/>
      <c r="I150" s="64"/>
      <c r="J150" s="64"/>
    </row>
    <row r="151" spans="1:10" s="63" customFormat="1" ht="18" customHeight="1">
      <c r="A151" s="73"/>
      <c r="B151" s="626"/>
      <c r="C151" s="636"/>
      <c r="D151" s="627"/>
      <c r="E151" s="636"/>
      <c r="F151" s="627"/>
      <c r="G151" s="652"/>
      <c r="H151" s="74"/>
      <c r="I151" s="64"/>
      <c r="J151" s="64"/>
    </row>
    <row r="152" spans="1:10" s="63" customFormat="1" ht="20.25" customHeight="1">
      <c r="A152" s="73"/>
      <c r="B152" s="623"/>
      <c r="C152" s="637"/>
      <c r="D152" s="628"/>
      <c r="E152" s="629"/>
      <c r="F152" s="629"/>
      <c r="G152" s="653"/>
      <c r="H152" s="74"/>
      <c r="I152" s="64"/>
      <c r="J152" s="64"/>
    </row>
    <row r="153" spans="1:10" s="63" customFormat="1" ht="51.75" customHeight="1">
      <c r="A153" s="65"/>
      <c r="B153" s="75"/>
      <c r="C153" s="75"/>
      <c r="D153" s="75"/>
      <c r="E153" s="75"/>
      <c r="F153" s="75"/>
      <c r="G153" s="76"/>
      <c r="H153" s="74"/>
      <c r="I153" s="64"/>
      <c r="J153" s="64"/>
    </row>
    <row r="154" spans="1:10" ht="18.75" customHeight="1">
      <c r="A154" s="15"/>
      <c r="B154" s="18"/>
      <c r="C154" s="29"/>
      <c r="D154" s="29"/>
      <c r="E154" s="29"/>
      <c r="F154" s="29"/>
      <c r="G154" s="30"/>
      <c r="H154" s="13"/>
      <c r="I154" s="6"/>
      <c r="J154" s="20"/>
    </row>
    <row r="155" spans="1:10" ht="18.75" customHeight="1">
      <c r="A155" s="15"/>
      <c r="B155" s="18"/>
      <c r="C155" s="29"/>
      <c r="D155" s="29"/>
      <c r="E155" s="29"/>
      <c r="F155" s="29"/>
      <c r="G155" s="30"/>
      <c r="H155" s="13"/>
      <c r="I155" s="6"/>
      <c r="J155" s="20"/>
    </row>
    <row r="156" spans="1:10" ht="18.75" customHeight="1">
      <c r="A156" s="15"/>
      <c r="B156" s="18"/>
      <c r="C156" s="29"/>
      <c r="D156" s="29"/>
      <c r="E156" s="29"/>
      <c r="F156" s="29"/>
      <c r="G156" s="30"/>
      <c r="H156" s="13"/>
      <c r="I156" s="6"/>
      <c r="J156" s="20"/>
    </row>
    <row r="157" spans="1:10" ht="18.75" customHeight="1">
      <c r="A157" s="15"/>
      <c r="B157" s="18"/>
      <c r="C157" s="29"/>
      <c r="D157" s="29"/>
      <c r="E157" s="29"/>
      <c r="F157" s="29"/>
      <c r="G157" s="30"/>
      <c r="H157" s="13"/>
      <c r="I157" s="6"/>
      <c r="J157" s="20"/>
    </row>
    <row r="158" spans="1:10" ht="18.75" customHeight="1">
      <c r="A158" s="15"/>
      <c r="B158" s="18"/>
      <c r="C158" s="29"/>
      <c r="D158" s="29"/>
      <c r="E158" s="29"/>
      <c r="F158" s="29"/>
      <c r="G158" s="30"/>
      <c r="H158" s="13"/>
      <c r="I158" s="6"/>
      <c r="J158" s="20"/>
    </row>
    <row r="159" spans="1:10" ht="18.75" customHeight="1">
      <c r="A159" s="15"/>
      <c r="B159" s="18"/>
      <c r="C159" s="29"/>
      <c r="D159" s="29"/>
      <c r="E159" s="29"/>
      <c r="F159" s="29"/>
      <c r="G159" s="30"/>
      <c r="H159" s="13"/>
      <c r="I159" s="6"/>
      <c r="J159" s="20"/>
    </row>
    <row r="160" spans="1:10" ht="18.75" customHeight="1">
      <c r="A160" s="15"/>
      <c r="B160" s="18"/>
      <c r="C160" s="29"/>
      <c r="D160" s="29"/>
      <c r="E160" s="29"/>
      <c r="F160" s="29"/>
      <c r="G160" s="30"/>
      <c r="H160" s="13"/>
      <c r="I160" s="6"/>
      <c r="J160" s="20"/>
    </row>
    <row r="161" spans="1:10" ht="18.75" customHeight="1">
      <c r="A161" s="15"/>
      <c r="B161" s="18"/>
      <c r="C161" s="29"/>
      <c r="D161" s="29"/>
      <c r="E161" s="29"/>
      <c r="F161" s="29"/>
      <c r="G161" s="30"/>
      <c r="H161" s="13"/>
      <c r="I161" s="6"/>
      <c r="J161" s="20"/>
    </row>
    <row r="162" spans="1:10" ht="18.75" customHeight="1">
      <c r="A162" s="15"/>
      <c r="B162" s="18"/>
      <c r="C162" s="29"/>
      <c r="D162" s="29"/>
      <c r="E162" s="29"/>
      <c r="F162" s="29"/>
      <c r="G162" s="30"/>
      <c r="H162" s="13"/>
      <c r="I162" s="6"/>
      <c r="J162" s="20"/>
    </row>
    <row r="163" spans="1:10" ht="18.75" customHeight="1">
      <c r="A163" s="15"/>
      <c r="B163" s="18"/>
      <c r="C163" s="29"/>
      <c r="D163" s="29"/>
      <c r="E163" s="29"/>
      <c r="F163" s="29"/>
      <c r="G163" s="30"/>
      <c r="H163" s="13"/>
      <c r="I163" s="6"/>
      <c r="J163" s="20"/>
    </row>
    <row r="164" spans="1:10" ht="18.75" customHeight="1">
      <c r="A164" s="15"/>
      <c r="B164" s="18"/>
      <c r="C164" s="29"/>
      <c r="D164" s="29"/>
      <c r="E164" s="29"/>
      <c r="F164" s="29"/>
      <c r="G164" s="30"/>
      <c r="H164" s="13"/>
      <c r="I164" s="6"/>
      <c r="J164" s="20"/>
    </row>
    <row r="165" spans="1:10" ht="18.75" customHeight="1">
      <c r="A165" s="15"/>
      <c r="B165" s="18"/>
      <c r="C165" s="29"/>
      <c r="D165" s="29"/>
      <c r="E165" s="29"/>
      <c r="F165" s="29"/>
      <c r="G165" s="30"/>
      <c r="H165" s="13"/>
      <c r="I165" s="6"/>
      <c r="J165" s="20"/>
    </row>
    <row r="166" spans="1:10" ht="18.75" customHeight="1">
      <c r="A166" s="15"/>
      <c r="B166" s="18"/>
      <c r="C166" s="29"/>
      <c r="D166" s="29"/>
      <c r="E166" s="29"/>
      <c r="F166" s="29"/>
      <c r="G166" s="30"/>
      <c r="H166" s="13"/>
      <c r="I166" s="6"/>
      <c r="J166" s="20"/>
    </row>
    <row r="167" spans="1:10" ht="18.75" customHeight="1">
      <c r="A167" s="15"/>
      <c r="B167" s="18"/>
      <c r="C167" s="29"/>
      <c r="D167" s="29"/>
      <c r="E167" s="29"/>
      <c r="F167" s="29"/>
      <c r="G167" s="30"/>
      <c r="H167" s="13"/>
      <c r="I167" s="6"/>
      <c r="J167" s="20"/>
    </row>
    <row r="168" spans="1:10" ht="18.75" customHeight="1">
      <c r="A168" s="15"/>
      <c r="B168" s="18"/>
      <c r="C168" s="77"/>
      <c r="D168" s="29"/>
      <c r="E168" s="29"/>
      <c r="F168" s="29"/>
      <c r="G168" s="30"/>
      <c r="H168" s="13"/>
      <c r="I168" s="6"/>
      <c r="J168" s="20"/>
    </row>
    <row r="169" spans="1:10" ht="18.75" customHeight="1">
      <c r="A169" s="15"/>
      <c r="B169" s="18"/>
      <c r="C169" s="77"/>
      <c r="D169" s="29"/>
      <c r="E169" s="29"/>
      <c r="F169" s="29"/>
      <c r="G169" s="30"/>
      <c r="H169" s="13"/>
      <c r="I169" s="6"/>
      <c r="J169" s="20"/>
    </row>
    <row r="170" spans="1:10" ht="18.75" customHeight="1">
      <c r="A170" s="15"/>
      <c r="B170" s="18"/>
      <c r="C170" s="29"/>
      <c r="D170" s="29"/>
      <c r="E170" s="29"/>
      <c r="F170" s="29"/>
      <c r="G170" s="30"/>
      <c r="H170" s="13"/>
      <c r="I170" s="6"/>
      <c r="J170" s="20"/>
    </row>
    <row r="171" spans="1:10" ht="18.75" customHeight="1">
      <c r="A171" s="15"/>
      <c r="B171" s="43"/>
      <c r="C171" s="78"/>
      <c r="D171" s="78"/>
      <c r="E171" s="78"/>
      <c r="F171" s="78"/>
      <c r="G171" s="58"/>
      <c r="H171" s="44"/>
      <c r="I171" s="6"/>
      <c r="J171" s="20"/>
    </row>
    <row r="172" spans="1:10" s="54" customFormat="1" ht="21.75" customHeight="1">
      <c r="A172" s="641"/>
      <c r="B172" s="641"/>
      <c r="C172" s="641"/>
      <c r="D172" s="641"/>
      <c r="E172" s="641"/>
      <c r="F172" s="641"/>
      <c r="G172" s="641"/>
      <c r="H172" s="641"/>
      <c r="I172" s="79"/>
      <c r="J172" s="53"/>
    </row>
    <row r="173" spans="1:10" s="54" customFormat="1" ht="21.75" customHeight="1">
      <c r="A173" s="632"/>
      <c r="B173" s="632"/>
      <c r="C173" s="632"/>
      <c r="D173" s="632"/>
      <c r="E173" s="632"/>
      <c r="F173" s="632"/>
      <c r="G173" s="632"/>
      <c r="H173" s="632"/>
      <c r="I173" s="80"/>
      <c r="J173" s="53"/>
    </row>
    <row r="174" spans="1:10" ht="15.75">
      <c r="A174" s="58"/>
      <c r="B174" s="58"/>
      <c r="C174" s="58"/>
      <c r="D174" s="58"/>
      <c r="E174" s="58"/>
      <c r="F174" s="58"/>
      <c r="G174" s="58"/>
      <c r="H174" s="14"/>
      <c r="I174" s="1"/>
      <c r="J174" s="20"/>
    </row>
    <row r="175" spans="1:10" s="79" customFormat="1" ht="83.25" customHeight="1">
      <c r="A175" s="633"/>
      <c r="B175" s="633"/>
      <c r="C175" s="62"/>
      <c r="D175" s="62"/>
      <c r="E175" s="52"/>
      <c r="F175" s="62"/>
      <c r="G175" s="52"/>
      <c r="H175" s="81"/>
      <c r="I175" s="82"/>
      <c r="J175" s="83"/>
    </row>
    <row r="176" spans="1:10" s="4" customFormat="1" ht="15">
      <c r="A176" s="51"/>
      <c r="B176" s="17"/>
      <c r="C176" s="17"/>
      <c r="D176" s="17"/>
      <c r="E176" s="17"/>
      <c r="F176" s="17"/>
      <c r="G176" s="17"/>
      <c r="H176" s="47"/>
      <c r="J176" s="21"/>
    </row>
    <row r="177" spans="1:10" ht="21.75" customHeight="1">
      <c r="A177" s="15"/>
      <c r="B177" s="18"/>
      <c r="C177" s="28"/>
      <c r="D177" s="28"/>
      <c r="E177" s="29"/>
      <c r="F177" s="84"/>
      <c r="G177" s="85"/>
      <c r="H177" s="86"/>
      <c r="I177" s="6"/>
      <c r="J177" s="20"/>
    </row>
    <row r="178" spans="1:10" ht="21.75" customHeight="1">
      <c r="A178" s="15"/>
      <c r="B178" s="18"/>
      <c r="C178" s="28"/>
      <c r="D178" s="28"/>
      <c r="E178" s="29"/>
      <c r="F178" s="84"/>
      <c r="G178" s="85"/>
      <c r="H178" s="86"/>
      <c r="I178" s="6"/>
      <c r="J178" s="20"/>
    </row>
    <row r="179" spans="1:10" ht="21.75" customHeight="1">
      <c r="A179" s="15"/>
      <c r="B179" s="18"/>
      <c r="C179" s="28"/>
      <c r="D179" s="28"/>
      <c r="E179" s="29"/>
      <c r="F179" s="84"/>
      <c r="G179" s="85"/>
      <c r="H179" s="86"/>
      <c r="I179" s="6"/>
      <c r="J179" s="20"/>
    </row>
    <row r="180" spans="1:10" ht="21.75" customHeight="1">
      <c r="A180" s="15"/>
      <c r="B180" s="18"/>
      <c r="C180" s="28"/>
      <c r="D180" s="28"/>
      <c r="E180" s="29"/>
      <c r="F180" s="84"/>
      <c r="G180" s="85"/>
      <c r="H180" s="86"/>
      <c r="I180" s="6"/>
      <c r="J180" s="20"/>
    </row>
    <row r="181" spans="1:10" ht="21.75" customHeight="1">
      <c r="A181" s="15"/>
      <c r="B181" s="18"/>
      <c r="C181" s="28"/>
      <c r="D181" s="28"/>
      <c r="E181" s="29"/>
      <c r="F181" s="84"/>
      <c r="G181" s="85"/>
      <c r="H181" s="86"/>
      <c r="I181" s="6"/>
      <c r="J181" s="20"/>
    </row>
    <row r="182" spans="1:10" ht="21.75" customHeight="1">
      <c r="A182" s="15"/>
      <c r="B182" s="18"/>
      <c r="C182" s="28"/>
      <c r="D182" s="28"/>
      <c r="E182" s="29"/>
      <c r="F182" s="84"/>
      <c r="G182" s="85"/>
      <c r="H182" s="86"/>
      <c r="I182" s="6"/>
      <c r="J182" s="20"/>
    </row>
    <row r="183" spans="1:10" ht="21.75" customHeight="1">
      <c r="A183" s="15"/>
      <c r="B183" s="18"/>
      <c r="C183" s="28"/>
      <c r="D183" s="28"/>
      <c r="E183" s="29"/>
      <c r="F183" s="84"/>
      <c r="G183" s="85"/>
      <c r="H183" s="86"/>
      <c r="I183" s="6"/>
      <c r="J183" s="20"/>
    </row>
    <row r="184" spans="1:10" ht="21.75" customHeight="1">
      <c r="A184" s="15"/>
      <c r="B184" s="18"/>
      <c r="C184" s="28"/>
      <c r="D184" s="28"/>
      <c r="E184" s="29"/>
      <c r="F184" s="84"/>
      <c r="G184" s="85"/>
      <c r="H184" s="86"/>
      <c r="I184" s="6"/>
      <c r="J184" s="20"/>
    </row>
    <row r="185" spans="1:10" ht="22.5" customHeight="1">
      <c r="A185" s="15"/>
      <c r="B185" s="18"/>
      <c r="C185" s="28"/>
      <c r="D185" s="28"/>
      <c r="E185" s="29"/>
      <c r="F185" s="84"/>
      <c r="G185" s="85"/>
      <c r="H185" s="86"/>
      <c r="I185" s="6"/>
      <c r="J185" s="20"/>
    </row>
    <row r="186" spans="1:10" ht="22.5" customHeight="1">
      <c r="A186" s="15"/>
      <c r="B186" s="18"/>
      <c r="C186" s="28"/>
      <c r="D186" s="28"/>
      <c r="E186" s="29"/>
      <c r="F186" s="84"/>
      <c r="G186" s="85"/>
      <c r="H186" s="86"/>
      <c r="I186" s="6"/>
      <c r="J186" s="20"/>
    </row>
    <row r="187" spans="1:10" ht="22.5" customHeight="1">
      <c r="A187" s="15"/>
      <c r="B187" s="18"/>
      <c r="C187" s="28"/>
      <c r="D187" s="28"/>
      <c r="E187" s="29"/>
      <c r="F187" s="84"/>
      <c r="G187" s="85"/>
      <c r="H187" s="86"/>
      <c r="I187" s="6"/>
      <c r="J187" s="20"/>
    </row>
    <row r="188" spans="1:10" ht="22.5" customHeight="1">
      <c r="A188" s="15"/>
      <c r="B188" s="18"/>
      <c r="C188" s="28"/>
      <c r="D188" s="28"/>
      <c r="E188" s="29"/>
      <c r="F188" s="84"/>
      <c r="G188" s="85"/>
      <c r="H188" s="86"/>
      <c r="I188" s="6"/>
      <c r="J188" s="20"/>
    </row>
    <row r="189" spans="1:10" ht="22.5" customHeight="1">
      <c r="A189" s="15"/>
      <c r="B189" s="18"/>
      <c r="C189" s="28"/>
      <c r="D189" s="28"/>
      <c r="E189" s="29"/>
      <c r="F189" s="84"/>
      <c r="G189" s="85"/>
      <c r="H189" s="86"/>
      <c r="I189" s="6"/>
      <c r="J189" s="20"/>
    </row>
    <row r="190" spans="1:10" ht="22.5" customHeight="1">
      <c r="A190" s="15"/>
      <c r="B190" s="18"/>
      <c r="C190" s="28"/>
      <c r="D190" s="28"/>
      <c r="E190" s="29"/>
      <c r="F190" s="84"/>
      <c r="G190" s="85"/>
      <c r="H190" s="86"/>
      <c r="I190" s="6"/>
      <c r="J190" s="20"/>
    </row>
    <row r="191" spans="1:10" ht="22.5" customHeight="1">
      <c r="A191" s="42"/>
      <c r="B191" s="18"/>
      <c r="C191" s="28"/>
      <c r="D191" s="28"/>
      <c r="E191" s="29"/>
      <c r="F191" s="84"/>
      <c r="G191" s="85"/>
      <c r="H191" s="86"/>
      <c r="I191" s="6"/>
      <c r="J191" s="20"/>
    </row>
    <row r="192" spans="1:10" ht="22.5" customHeight="1">
      <c r="A192" s="15"/>
      <c r="B192" s="18"/>
      <c r="C192" s="28"/>
      <c r="D192" s="28"/>
      <c r="E192" s="29"/>
      <c r="F192" s="84"/>
      <c r="G192" s="85"/>
      <c r="H192" s="86"/>
      <c r="I192" s="6"/>
      <c r="J192" s="20"/>
    </row>
    <row r="193" spans="1:10" ht="22.5" customHeight="1">
      <c r="A193" s="15"/>
      <c r="B193" s="43"/>
      <c r="C193" s="87"/>
      <c r="D193" s="87"/>
      <c r="E193" s="78"/>
      <c r="F193" s="88"/>
      <c r="G193" s="89"/>
      <c r="H193" s="90"/>
      <c r="I193" s="6"/>
      <c r="J193" s="20"/>
    </row>
    <row r="194" spans="1:10" ht="22.5" customHeight="1" thickBot="1">
      <c r="A194" s="48"/>
      <c r="B194" s="49"/>
      <c r="C194" s="91"/>
      <c r="D194" s="91"/>
      <c r="E194" s="56"/>
      <c r="F194" s="56"/>
      <c r="G194" s="92"/>
      <c r="H194" s="93"/>
      <c r="I194" s="8"/>
      <c r="J194" s="20"/>
    </row>
    <row r="195" spans="1:10" s="54" customFormat="1" ht="25.5" customHeight="1">
      <c r="A195" s="67"/>
      <c r="B195" s="95"/>
      <c r="C195" s="96"/>
      <c r="D195" s="68"/>
      <c r="E195" s="97"/>
      <c r="F195" s="98"/>
      <c r="G195" s="94"/>
      <c r="I195" s="66"/>
      <c r="J195" s="53"/>
    </row>
    <row r="196" spans="1:6" s="54" customFormat="1" ht="25.5" customHeight="1">
      <c r="A196" s="642"/>
      <c r="B196" s="642"/>
      <c r="C196" s="642"/>
      <c r="D196" s="642"/>
      <c r="E196" s="642"/>
      <c r="F196" s="642"/>
    </row>
    <row r="197" spans="1:6" s="54" customFormat="1" ht="25.5" customHeight="1">
      <c r="A197" s="630"/>
      <c r="B197" s="630"/>
      <c r="C197" s="630"/>
      <c r="D197" s="630"/>
      <c r="E197" s="630"/>
      <c r="F197" s="630"/>
    </row>
    <row r="198" spans="1:6" s="79" customFormat="1" ht="53.25" customHeight="1">
      <c r="A198" s="57"/>
      <c r="B198" s="12"/>
      <c r="C198" s="65"/>
      <c r="D198" s="65"/>
      <c r="E198" s="99"/>
      <c r="F198" s="100"/>
    </row>
    <row r="199" spans="1:6" s="4" customFormat="1" ht="15">
      <c r="A199" s="51"/>
      <c r="B199" s="17"/>
      <c r="C199" s="17"/>
      <c r="D199" s="17"/>
      <c r="E199" s="17"/>
      <c r="F199" s="47"/>
    </row>
    <row r="200" spans="1:6" ht="19.5" customHeight="1">
      <c r="A200" s="15"/>
      <c r="B200" s="18"/>
      <c r="C200" s="13"/>
      <c r="D200" s="13"/>
      <c r="E200" s="13"/>
      <c r="F200" s="60"/>
    </row>
    <row r="201" spans="1:6" ht="19.5" customHeight="1">
      <c r="A201" s="15"/>
      <c r="B201" s="18"/>
      <c r="C201" s="13"/>
      <c r="D201" s="13"/>
      <c r="E201" s="13"/>
      <c r="F201" s="60"/>
    </row>
    <row r="202" spans="1:6" ht="19.5" customHeight="1">
      <c r="A202" s="15"/>
      <c r="B202" s="18"/>
      <c r="C202" s="13"/>
      <c r="D202" s="13"/>
      <c r="E202" s="13"/>
      <c r="F202" s="60"/>
    </row>
    <row r="203" spans="1:6" ht="19.5" customHeight="1">
      <c r="A203" s="15"/>
      <c r="B203" s="18"/>
      <c r="C203" s="13"/>
      <c r="D203" s="13"/>
      <c r="E203" s="13"/>
      <c r="F203" s="60"/>
    </row>
    <row r="204" spans="1:6" ht="19.5" customHeight="1">
      <c r="A204" s="15"/>
      <c r="B204" s="18"/>
      <c r="C204" s="13"/>
      <c r="D204" s="13"/>
      <c r="E204" s="13"/>
      <c r="F204" s="60"/>
    </row>
    <row r="205" spans="1:6" ht="19.5" customHeight="1">
      <c r="A205" s="15"/>
      <c r="B205" s="18"/>
      <c r="C205" s="13"/>
      <c r="D205" s="13"/>
      <c r="E205" s="13"/>
      <c r="F205" s="60"/>
    </row>
    <row r="206" spans="1:6" ht="19.5" customHeight="1">
      <c r="A206" s="15"/>
      <c r="B206" s="18"/>
      <c r="C206" s="13"/>
      <c r="D206" s="13"/>
      <c r="E206" s="13"/>
      <c r="F206" s="60"/>
    </row>
    <row r="207" spans="1:6" ht="19.5" customHeight="1">
      <c r="A207" s="15"/>
      <c r="B207" s="18"/>
      <c r="C207" s="13"/>
      <c r="D207" s="13"/>
      <c r="E207" s="13"/>
      <c r="F207" s="60"/>
    </row>
    <row r="208" spans="1:6" ht="19.5" customHeight="1">
      <c r="A208" s="15"/>
      <c r="B208" s="18"/>
      <c r="C208" s="13"/>
      <c r="D208" s="13"/>
      <c r="E208" s="13"/>
      <c r="F208" s="60"/>
    </row>
    <row r="209" spans="1:6" ht="19.5" customHeight="1">
      <c r="A209" s="15"/>
      <c r="B209" s="18"/>
      <c r="C209" s="13"/>
      <c r="D209" s="13"/>
      <c r="E209" s="13"/>
      <c r="F209" s="60"/>
    </row>
    <row r="210" spans="1:6" ht="19.5" customHeight="1">
      <c r="A210" s="15"/>
      <c r="B210" s="18"/>
      <c r="C210" s="13"/>
      <c r="D210" s="13"/>
      <c r="E210" s="13"/>
      <c r="F210" s="60"/>
    </row>
    <row r="211" spans="1:6" ht="19.5" customHeight="1">
      <c r="A211" s="15"/>
      <c r="B211" s="18"/>
      <c r="C211" s="13"/>
      <c r="D211" s="13"/>
      <c r="E211" s="13"/>
      <c r="F211" s="60"/>
    </row>
    <row r="212" spans="1:6" ht="19.5" customHeight="1">
      <c r="A212" s="15"/>
      <c r="B212" s="18"/>
      <c r="C212" s="13"/>
      <c r="D212" s="13"/>
      <c r="E212" s="13"/>
      <c r="F212" s="60"/>
    </row>
    <row r="213" spans="1:6" ht="19.5" customHeight="1">
      <c r="A213" s="15"/>
      <c r="B213" s="18"/>
      <c r="C213" s="13"/>
      <c r="D213" s="13"/>
      <c r="E213" s="13"/>
      <c r="F213" s="60"/>
    </row>
    <row r="214" spans="1:6" ht="19.5" customHeight="1">
      <c r="A214" s="15"/>
      <c r="B214" s="18"/>
      <c r="C214" s="13"/>
      <c r="D214" s="13"/>
      <c r="E214" s="13"/>
      <c r="F214" s="60"/>
    </row>
    <row r="215" spans="1:6" ht="19.5" customHeight="1">
      <c r="A215" s="15"/>
      <c r="B215" s="18"/>
      <c r="C215" s="13"/>
      <c r="D215" s="13"/>
      <c r="E215" s="13"/>
      <c r="F215" s="60"/>
    </row>
    <row r="216" spans="1:6" ht="19.5" customHeight="1">
      <c r="A216" s="15"/>
      <c r="B216" s="18"/>
      <c r="C216" s="13"/>
      <c r="D216" s="13"/>
      <c r="E216" s="13"/>
      <c r="F216" s="60"/>
    </row>
    <row r="217" spans="1:6" ht="19.5" customHeight="1" thickBot="1">
      <c r="A217" s="48"/>
      <c r="B217" s="49"/>
      <c r="C217" s="50"/>
      <c r="D217" s="50"/>
      <c r="E217" s="50"/>
      <c r="F217" s="101"/>
    </row>
    <row r="218" spans="1:6" ht="15">
      <c r="A218" s="15"/>
      <c r="B218" s="19"/>
      <c r="C218" s="15"/>
      <c r="D218" s="15"/>
      <c r="E218" s="15"/>
      <c r="F218" s="15"/>
    </row>
  </sheetData>
  <mergeCells count="33">
    <mergeCell ref="A197:F197"/>
    <mergeCell ref="A5:D5"/>
    <mergeCell ref="A172:H172"/>
    <mergeCell ref="A173:H173"/>
    <mergeCell ref="A175:B175"/>
    <mergeCell ref="A196:F196"/>
    <mergeCell ref="A149:G149"/>
    <mergeCell ref="B150:G150"/>
    <mergeCell ref="B151:B152"/>
    <mergeCell ref="C29:F29"/>
    <mergeCell ref="G151:G152"/>
    <mergeCell ref="A111:H111"/>
    <mergeCell ref="A87:G87"/>
    <mergeCell ref="A86:G86"/>
    <mergeCell ref="C151:C152"/>
    <mergeCell ref="D151:D152"/>
    <mergeCell ref="E151:E152"/>
    <mergeCell ref="F151:F152"/>
    <mergeCell ref="A59:G59"/>
    <mergeCell ref="A60:G60"/>
    <mergeCell ref="A84:G84"/>
    <mergeCell ref="A85:G85"/>
    <mergeCell ref="D83:G83"/>
    <mergeCell ref="A3:E3"/>
    <mergeCell ref="A58:G58"/>
    <mergeCell ref="A30:G30"/>
    <mergeCell ref="A57:G57"/>
    <mergeCell ref="A31:G31"/>
    <mergeCell ref="D56:G56"/>
    <mergeCell ref="A6:D6"/>
    <mergeCell ref="A8:A9"/>
    <mergeCell ref="B8:B9"/>
    <mergeCell ref="A4:E4"/>
  </mergeCells>
  <printOptions horizontalCentered="1"/>
  <pageMargins left="1.0236220472440944" right="0.7480314960629921" top="0.5118110236220472" bottom="0.4724409448818898" header="0.4724409448818898" footer="0.5118110236220472"/>
  <pageSetup horizontalDpi="180" verticalDpi="180" orientation="portrait" paperSize="9" scale="76" r:id="rId1"/>
  <headerFooter alignWithMargins="0">
    <oddFooter>&amp;C&amp;P</oddFooter>
  </headerFooter>
  <rowBreaks count="7" manualBreakCount="7">
    <brk id="28" max="6" man="1"/>
    <brk id="55" max="6" man="1"/>
    <brk id="82" max="255" man="1"/>
    <brk id="110" max="255" man="1"/>
    <brk id="148" max="255" man="1"/>
    <brk id="171" max="255" man="1"/>
    <brk id="194" max="255" man="1"/>
  </rowBreaks>
</worksheet>
</file>

<file path=xl/worksheets/sheet3.xml><?xml version="1.0" encoding="utf-8"?>
<worksheet xmlns="http://schemas.openxmlformats.org/spreadsheetml/2006/main" xmlns:r="http://schemas.openxmlformats.org/officeDocument/2006/relationships">
  <sheetPr codeName="Sheet5">
    <tabColor indexed="17"/>
  </sheetPr>
  <dimension ref="A1:O89"/>
  <sheetViews>
    <sheetView view="pageBreakPreview" zoomScale="75" zoomScaleNormal="75" zoomScaleSheetLayoutView="75" workbookViewId="0" topLeftCell="A37">
      <selection activeCell="H27" sqref="H27"/>
    </sheetView>
  </sheetViews>
  <sheetFormatPr defaultColWidth="9.00390625" defaultRowHeight="12.75"/>
  <cols>
    <col min="1" max="1" width="5.00390625" style="3" customWidth="1"/>
    <col min="2" max="2" width="25.00390625" style="3" customWidth="1"/>
    <col min="3" max="5" width="16.625" style="3" customWidth="1"/>
    <col min="6" max="6" width="14.875" style="3" customWidth="1"/>
    <col min="7" max="7" width="14.25390625" style="3" customWidth="1"/>
    <col min="8" max="8" width="15.125" style="3" customWidth="1"/>
    <col min="9" max="9" width="16.00390625" style="3" customWidth="1"/>
    <col min="10" max="10" width="13.625" style="3" customWidth="1"/>
    <col min="11" max="11" width="12.50390625" style="3" customWidth="1"/>
    <col min="12" max="12" width="17.625" style="3" customWidth="1"/>
    <col min="13" max="13" width="13.125" style="3" customWidth="1"/>
    <col min="14" max="14" width="16.125" style="3" customWidth="1"/>
    <col min="15" max="15" width="14.25390625" style="3" customWidth="1"/>
    <col min="16" max="16384" width="9.00390625" style="3" customWidth="1"/>
  </cols>
  <sheetData>
    <row r="1" spans="8:15" ht="24.75" customHeight="1">
      <c r="H1" s="644" t="s">
        <v>224</v>
      </c>
      <c r="I1" s="644"/>
      <c r="J1" s="644"/>
      <c r="K1" s="644"/>
      <c r="L1" s="185"/>
      <c r="M1"/>
      <c r="N1"/>
      <c r="O1"/>
    </row>
    <row r="2" spans="1:13" ht="25.5" customHeight="1">
      <c r="A2" s="641" t="s">
        <v>157</v>
      </c>
      <c r="B2" s="641"/>
      <c r="C2" s="641"/>
      <c r="D2" s="641"/>
      <c r="E2" s="641"/>
      <c r="F2" s="641"/>
      <c r="G2" s="641"/>
      <c r="H2" s="641"/>
      <c r="I2" s="641"/>
      <c r="J2" s="641"/>
      <c r="K2" s="641"/>
      <c r="L2" s="204"/>
      <c r="M2" s="20"/>
    </row>
    <row r="3" spans="1:13" ht="28.5" customHeight="1">
      <c r="A3" s="179" t="s">
        <v>236</v>
      </c>
      <c r="B3" s="33"/>
      <c r="C3" s="33"/>
      <c r="D3" s="33"/>
      <c r="E3" s="33"/>
      <c r="F3" s="33"/>
      <c r="G3" s="25"/>
      <c r="H3" s="15"/>
      <c r="I3" s="14"/>
      <c r="J3" s="15"/>
      <c r="K3" s="15"/>
      <c r="L3" s="15"/>
      <c r="M3" s="20"/>
    </row>
    <row r="4" spans="1:13" ht="33.75" customHeight="1">
      <c r="A4" s="604"/>
      <c r="B4" s="603" t="s">
        <v>77</v>
      </c>
      <c r="C4" s="605" t="s">
        <v>254</v>
      </c>
      <c r="D4" s="605"/>
      <c r="E4" s="605"/>
      <c r="F4" s="605"/>
      <c r="G4" s="605" t="s">
        <v>216</v>
      </c>
      <c r="H4" s="605"/>
      <c r="I4" s="605"/>
      <c r="J4" s="605"/>
      <c r="K4" s="602" t="s">
        <v>217</v>
      </c>
      <c r="L4" s="210"/>
      <c r="M4" s="20"/>
    </row>
    <row r="5" spans="1:13" s="46" customFormat="1" ht="33.75" customHeight="1">
      <c r="A5" s="604"/>
      <c r="B5" s="603"/>
      <c r="C5" s="130" t="s">
        <v>147</v>
      </c>
      <c r="D5" s="130" t="s">
        <v>213</v>
      </c>
      <c r="E5" s="130" t="s">
        <v>191</v>
      </c>
      <c r="F5" s="131" t="s">
        <v>226</v>
      </c>
      <c r="G5" s="130" t="s">
        <v>147</v>
      </c>
      <c r="H5" s="130" t="s">
        <v>213</v>
      </c>
      <c r="I5" s="130" t="s">
        <v>191</v>
      </c>
      <c r="J5" s="131" t="s">
        <v>226</v>
      </c>
      <c r="K5" s="602"/>
      <c r="L5" s="210"/>
      <c r="M5" s="45"/>
    </row>
    <row r="6" spans="1:13" s="4" customFormat="1" ht="27.75" customHeight="1" thickBot="1">
      <c r="A6" s="5" t="s">
        <v>51</v>
      </c>
      <c r="B6" s="11" t="s">
        <v>22</v>
      </c>
      <c r="C6" s="124"/>
      <c r="D6" s="124">
        <v>3</v>
      </c>
      <c r="E6" s="124">
        <v>4</v>
      </c>
      <c r="F6" s="170" t="s">
        <v>26</v>
      </c>
      <c r="G6" s="124">
        <v>6</v>
      </c>
      <c r="H6" s="124">
        <v>7</v>
      </c>
      <c r="I6" s="123" t="s">
        <v>32</v>
      </c>
      <c r="J6" s="102" t="s">
        <v>33</v>
      </c>
      <c r="K6" s="102" t="s">
        <v>34</v>
      </c>
      <c r="L6" s="209"/>
      <c r="M6" s="21"/>
    </row>
    <row r="7" spans="1:15" ht="30" customHeight="1" thickBot="1">
      <c r="A7" s="128">
        <v>1</v>
      </c>
      <c r="B7" s="122" t="s">
        <v>2</v>
      </c>
      <c r="C7" s="222">
        <v>1261755</v>
      </c>
      <c r="D7" s="222">
        <v>1380591</v>
      </c>
      <c r="E7" s="222">
        <v>1625450</v>
      </c>
      <c r="F7" s="223">
        <f>AVERAGE(C7:E7)</f>
        <v>1422598.6666666667</v>
      </c>
      <c r="G7" s="248">
        <v>777.1</v>
      </c>
      <c r="H7" s="248">
        <v>786.16</v>
      </c>
      <c r="I7" s="248">
        <v>795.02</v>
      </c>
      <c r="J7" s="249">
        <f>AVERAGE(G7:I7)</f>
        <v>786.0933333333332</v>
      </c>
      <c r="K7" s="133">
        <f>F7/J7</f>
        <v>1809.7070746476247</v>
      </c>
      <c r="L7" s="211">
        <v>795020</v>
      </c>
      <c r="M7" s="205">
        <f>L7/1000</f>
        <v>795.02</v>
      </c>
      <c r="N7" s="205"/>
      <c r="O7" s="205"/>
    </row>
    <row r="8" spans="1:15" ht="30" customHeight="1" thickBot="1">
      <c r="A8" s="128">
        <v>2</v>
      </c>
      <c r="B8" s="122" t="s">
        <v>3</v>
      </c>
      <c r="C8" s="222">
        <v>276471</v>
      </c>
      <c r="D8" s="222">
        <v>336091</v>
      </c>
      <c r="E8" s="222">
        <v>334186</v>
      </c>
      <c r="F8" s="223">
        <f aca="true" t="shared" si="0" ref="F8:F23">AVERAGE(C8:E8)</f>
        <v>315582.6666666667</v>
      </c>
      <c r="G8" s="248">
        <v>855.68</v>
      </c>
      <c r="H8" s="248">
        <v>871.31</v>
      </c>
      <c r="I8" s="248">
        <v>886.62</v>
      </c>
      <c r="J8" s="249">
        <f>AVERAGE(G8:I8)</f>
        <v>871.2033333333333</v>
      </c>
      <c r="K8" s="133">
        <f aca="true" t="shared" si="1" ref="K8:K24">F8/J8</f>
        <v>362.23767126694503</v>
      </c>
      <c r="L8" s="211">
        <v>886620</v>
      </c>
      <c r="M8" s="205">
        <f aca="true" t="shared" si="2" ref="M8:M23">L8/1000</f>
        <v>886.62</v>
      </c>
      <c r="N8" s="206"/>
      <c r="O8" s="206"/>
    </row>
    <row r="9" spans="1:15" ht="30" customHeight="1" thickBot="1">
      <c r="A9" s="128">
        <v>3</v>
      </c>
      <c r="B9" s="122" t="s">
        <v>138</v>
      </c>
      <c r="C9" s="222">
        <v>232744</v>
      </c>
      <c r="D9" s="222">
        <v>258825</v>
      </c>
      <c r="E9" s="222">
        <v>322787</v>
      </c>
      <c r="F9" s="223">
        <f t="shared" si="0"/>
        <v>271452</v>
      </c>
      <c r="G9" s="248">
        <v>214.12</v>
      </c>
      <c r="H9" s="248">
        <v>217.64</v>
      </c>
      <c r="I9" s="248">
        <v>221.11</v>
      </c>
      <c r="J9" s="249">
        <f aca="true" t="shared" si="3" ref="J9:J24">AVERAGE(G9:I9)</f>
        <v>217.62333333333333</v>
      </c>
      <c r="K9" s="133">
        <f t="shared" si="1"/>
        <v>1247.3478640464411</v>
      </c>
      <c r="L9" s="211">
        <v>221110</v>
      </c>
      <c r="M9" s="205">
        <f t="shared" si="2"/>
        <v>221.11</v>
      </c>
      <c r="N9" s="206"/>
      <c r="O9" s="206"/>
    </row>
    <row r="10" spans="1:15" ht="30" customHeight="1" thickBot="1">
      <c r="A10" s="128">
        <v>4</v>
      </c>
      <c r="B10" s="122" t="s">
        <v>5</v>
      </c>
      <c r="C10" s="222">
        <v>60219</v>
      </c>
      <c r="D10" s="222">
        <v>71025</v>
      </c>
      <c r="E10" s="222">
        <v>85653</v>
      </c>
      <c r="F10" s="223">
        <f t="shared" si="0"/>
        <v>72299</v>
      </c>
      <c r="G10" s="248">
        <v>13.57</v>
      </c>
      <c r="H10" s="248">
        <v>13.89</v>
      </c>
      <c r="I10" s="248">
        <v>14.29</v>
      </c>
      <c r="J10" s="249">
        <f t="shared" si="3"/>
        <v>13.916666666666666</v>
      </c>
      <c r="K10" s="133">
        <f t="shared" si="1"/>
        <v>5195.137724550898</v>
      </c>
      <c r="L10" s="211">
        <v>14290</v>
      </c>
      <c r="M10" s="205">
        <f t="shared" si="2"/>
        <v>14.29</v>
      </c>
      <c r="N10" s="206"/>
      <c r="O10" s="207"/>
    </row>
    <row r="11" spans="1:15" ht="30" customHeight="1" thickBot="1">
      <c r="A11" s="128">
        <v>5</v>
      </c>
      <c r="B11" s="122" t="s">
        <v>6</v>
      </c>
      <c r="C11" s="222">
        <v>952046</v>
      </c>
      <c r="D11" s="222">
        <v>1117341</v>
      </c>
      <c r="E11" s="222">
        <v>1295755</v>
      </c>
      <c r="F11" s="223">
        <f t="shared" si="0"/>
        <v>1121714</v>
      </c>
      <c r="G11" s="248">
        <v>520.79</v>
      </c>
      <c r="H11" s="248">
        <v>529.44</v>
      </c>
      <c r="I11" s="248">
        <v>537.98</v>
      </c>
      <c r="J11" s="249">
        <f t="shared" si="3"/>
        <v>529.4033333333333</v>
      </c>
      <c r="K11" s="133">
        <f t="shared" si="1"/>
        <v>2118.82685539066</v>
      </c>
      <c r="L11" s="211">
        <v>537980</v>
      </c>
      <c r="M11" s="205">
        <f t="shared" si="2"/>
        <v>537.98</v>
      </c>
      <c r="N11" s="206"/>
      <c r="O11" s="206"/>
    </row>
    <row r="12" spans="1:15" ht="30" customHeight="1" thickBot="1">
      <c r="A12" s="128">
        <v>6</v>
      </c>
      <c r="B12" s="122" t="s">
        <v>7</v>
      </c>
      <c r="C12" s="222">
        <v>554968</v>
      </c>
      <c r="D12" s="222">
        <v>634805</v>
      </c>
      <c r="E12" s="222">
        <v>744003</v>
      </c>
      <c r="F12" s="223">
        <f t="shared" si="0"/>
        <v>644592</v>
      </c>
      <c r="G12" s="248">
        <v>218.37</v>
      </c>
      <c r="H12" s="248">
        <v>222.73</v>
      </c>
      <c r="I12" s="248">
        <v>227.07</v>
      </c>
      <c r="J12" s="249">
        <f t="shared" si="3"/>
        <v>222.72333333333336</v>
      </c>
      <c r="K12" s="133">
        <f t="shared" si="1"/>
        <v>2894.1377194426564</v>
      </c>
      <c r="L12" s="211">
        <v>227070</v>
      </c>
      <c r="M12" s="205">
        <f t="shared" si="2"/>
        <v>227.07</v>
      </c>
      <c r="N12" s="206"/>
      <c r="O12" s="206"/>
    </row>
    <row r="13" spans="1:15" ht="30" customHeight="1" thickBot="1">
      <c r="A13" s="128">
        <v>7</v>
      </c>
      <c r="B13" s="122" t="s">
        <v>139</v>
      </c>
      <c r="C13" s="222">
        <v>227784</v>
      </c>
      <c r="D13" s="222">
        <v>227764</v>
      </c>
      <c r="E13" s="222">
        <v>240188</v>
      </c>
      <c r="F13" s="223">
        <f t="shared" si="0"/>
        <v>231912</v>
      </c>
      <c r="G13" s="248">
        <v>277.37</v>
      </c>
      <c r="H13" s="248">
        <v>282.06</v>
      </c>
      <c r="I13" s="248">
        <v>286.64</v>
      </c>
      <c r="J13" s="249">
        <f t="shared" si="3"/>
        <v>282.02333333333337</v>
      </c>
      <c r="K13" s="133">
        <f t="shared" si="1"/>
        <v>822.3149384802675</v>
      </c>
      <c r="L13" s="211">
        <v>286640</v>
      </c>
      <c r="M13" s="205">
        <f t="shared" si="2"/>
        <v>286.64</v>
      </c>
      <c r="N13" s="206"/>
      <c r="O13" s="206"/>
    </row>
    <row r="14" spans="1:15" ht="30" customHeight="1" thickBot="1">
      <c r="A14" s="128">
        <v>8</v>
      </c>
      <c r="B14" s="122" t="s">
        <v>8</v>
      </c>
      <c r="C14" s="222">
        <v>1043971</v>
      </c>
      <c r="D14" s="222">
        <v>1257012</v>
      </c>
      <c r="E14" s="222">
        <v>1607232</v>
      </c>
      <c r="F14" s="223">
        <f t="shared" si="0"/>
        <v>1302738.3333333333</v>
      </c>
      <c r="G14" s="248">
        <v>539.69</v>
      </c>
      <c r="H14" s="248">
        <v>546.54</v>
      </c>
      <c r="I14" s="248">
        <v>553.27</v>
      </c>
      <c r="J14" s="249">
        <f t="shared" si="3"/>
        <v>546.5</v>
      </c>
      <c r="K14" s="133">
        <f t="shared" si="1"/>
        <v>2383.7846904544067</v>
      </c>
      <c r="L14" s="211">
        <v>553270</v>
      </c>
      <c r="M14" s="205">
        <f t="shared" si="2"/>
        <v>553.27</v>
      </c>
      <c r="N14" s="206"/>
      <c r="O14" s="206"/>
    </row>
    <row r="15" spans="1:15" ht="30" customHeight="1" thickBot="1">
      <c r="A15" s="128">
        <v>9</v>
      </c>
      <c r="B15" s="122" t="s">
        <v>9</v>
      </c>
      <c r="C15" s="222">
        <v>730252</v>
      </c>
      <c r="D15" s="222">
        <v>808877</v>
      </c>
      <c r="E15" s="222">
        <v>896365</v>
      </c>
      <c r="F15" s="223">
        <f t="shared" si="0"/>
        <v>811831.3333333334</v>
      </c>
      <c r="G15" s="248">
        <v>323.03</v>
      </c>
      <c r="H15" s="248">
        <v>325.91</v>
      </c>
      <c r="I15" s="248">
        <v>328.75</v>
      </c>
      <c r="J15" s="249">
        <f t="shared" si="3"/>
        <v>325.8966666666667</v>
      </c>
      <c r="K15" s="133">
        <f t="shared" si="1"/>
        <v>2491.0697664904005</v>
      </c>
      <c r="L15" s="211">
        <v>328750</v>
      </c>
      <c r="M15" s="205">
        <f t="shared" si="2"/>
        <v>328.75</v>
      </c>
      <c r="N15" s="206"/>
      <c r="O15" s="206"/>
    </row>
    <row r="16" spans="1:15" ht="30" customHeight="1" thickBot="1">
      <c r="A16" s="128">
        <v>10</v>
      </c>
      <c r="B16" s="122" t="s">
        <v>10</v>
      </c>
      <c r="C16" s="222">
        <v>617026</v>
      </c>
      <c r="D16" s="222">
        <v>678876</v>
      </c>
      <c r="E16" s="222">
        <v>777297</v>
      </c>
      <c r="F16" s="223">
        <f t="shared" si="0"/>
        <v>691066.3333333334</v>
      </c>
      <c r="G16" s="248">
        <v>623.12</v>
      </c>
      <c r="H16" s="248">
        <v>635.21</v>
      </c>
      <c r="I16" s="248">
        <v>647.2</v>
      </c>
      <c r="J16" s="249">
        <f t="shared" si="3"/>
        <v>635.1766666666666</v>
      </c>
      <c r="K16" s="133">
        <f t="shared" si="1"/>
        <v>1087.990742732993</v>
      </c>
      <c r="L16" s="211">
        <v>647200</v>
      </c>
      <c r="M16" s="205">
        <f t="shared" si="2"/>
        <v>647.2</v>
      </c>
      <c r="N16" s="206"/>
      <c r="O16" s="206"/>
    </row>
    <row r="17" spans="1:15" ht="30" customHeight="1" thickBot="1">
      <c r="A17" s="128">
        <v>11</v>
      </c>
      <c r="B17" s="122" t="s">
        <v>11</v>
      </c>
      <c r="C17" s="222">
        <v>2281101</v>
      </c>
      <c r="D17" s="222">
        <v>2516215</v>
      </c>
      <c r="E17" s="222">
        <v>3060575</v>
      </c>
      <c r="F17" s="223">
        <f t="shared" si="0"/>
        <v>2619297</v>
      </c>
      <c r="G17" s="248">
        <v>993.71</v>
      </c>
      <c r="H17" s="248">
        <v>1009.66</v>
      </c>
      <c r="I17" s="248">
        <v>1025.66</v>
      </c>
      <c r="J17" s="249">
        <f t="shared" si="3"/>
        <v>1009.6766666666666</v>
      </c>
      <c r="K17" s="133">
        <f t="shared" si="1"/>
        <v>2594.1938508367366</v>
      </c>
      <c r="L17" s="211">
        <v>1025660</v>
      </c>
      <c r="M17" s="205">
        <f t="shared" si="2"/>
        <v>1025.66</v>
      </c>
      <c r="N17" s="206"/>
      <c r="O17" s="206"/>
    </row>
    <row r="18" spans="1:15" ht="30" customHeight="1" thickBot="1">
      <c r="A18" s="128">
        <v>12</v>
      </c>
      <c r="B18" s="122" t="s">
        <v>12</v>
      </c>
      <c r="C18" s="222">
        <v>287184</v>
      </c>
      <c r="D18" s="222">
        <v>330173</v>
      </c>
      <c r="E18" s="222">
        <v>417660</v>
      </c>
      <c r="F18" s="223">
        <f t="shared" si="0"/>
        <v>345005.6666666667</v>
      </c>
      <c r="G18" s="248">
        <v>375.03</v>
      </c>
      <c r="H18" s="248">
        <v>379.21</v>
      </c>
      <c r="I18" s="248">
        <v>383.29</v>
      </c>
      <c r="J18" s="249">
        <f t="shared" si="3"/>
        <v>379.1766666666667</v>
      </c>
      <c r="K18" s="133">
        <f t="shared" si="1"/>
        <v>909.8810580819846</v>
      </c>
      <c r="L18" s="211">
        <v>383290</v>
      </c>
      <c r="M18" s="205">
        <f t="shared" si="2"/>
        <v>383.29</v>
      </c>
      <c r="N18" s="206"/>
      <c r="O18" s="206"/>
    </row>
    <row r="19" spans="1:15" ht="30" customHeight="1" thickBot="1">
      <c r="A19" s="128">
        <v>13</v>
      </c>
      <c r="B19" s="122" t="s">
        <v>13</v>
      </c>
      <c r="C19" s="222">
        <v>571099</v>
      </c>
      <c r="D19" s="222">
        <v>614594</v>
      </c>
      <c r="E19" s="222">
        <v>694463</v>
      </c>
      <c r="F19" s="223">
        <f t="shared" si="0"/>
        <v>626718.6666666666</v>
      </c>
      <c r="G19" s="248">
        <v>248.99</v>
      </c>
      <c r="H19" s="248">
        <v>252.43</v>
      </c>
      <c r="I19" s="248">
        <v>255.86</v>
      </c>
      <c r="J19" s="249">
        <f t="shared" si="3"/>
        <v>252.42666666666665</v>
      </c>
      <c r="K19" s="133">
        <f t="shared" si="1"/>
        <v>2482.7751954362984</v>
      </c>
      <c r="L19" s="211">
        <v>255860</v>
      </c>
      <c r="M19" s="205">
        <f t="shared" si="2"/>
        <v>255.86</v>
      </c>
      <c r="N19" s="206"/>
      <c r="O19" s="206"/>
    </row>
    <row r="20" spans="1:15" ht="30" customHeight="1" thickBot="1">
      <c r="A20" s="128">
        <v>14</v>
      </c>
      <c r="B20" s="122" t="s">
        <v>14</v>
      </c>
      <c r="C20" s="222">
        <v>625334</v>
      </c>
      <c r="D20" s="222">
        <v>724619</v>
      </c>
      <c r="E20" s="222">
        <v>841482</v>
      </c>
      <c r="F20" s="223">
        <f t="shared" si="0"/>
        <v>730478.3333333334</v>
      </c>
      <c r="G20" s="248">
        <v>583.5</v>
      </c>
      <c r="H20" s="248">
        <v>595.12</v>
      </c>
      <c r="I20" s="248">
        <v>606.7</v>
      </c>
      <c r="J20" s="249">
        <f t="shared" si="3"/>
        <v>595.1066666666667</v>
      </c>
      <c r="K20" s="133">
        <f t="shared" si="1"/>
        <v>1227.4746263975087</v>
      </c>
      <c r="L20" s="211">
        <v>606700</v>
      </c>
      <c r="M20" s="205">
        <f t="shared" si="2"/>
        <v>606.7</v>
      </c>
      <c r="N20" s="206"/>
      <c r="O20" s="206"/>
    </row>
    <row r="21" spans="1:15" ht="30" customHeight="1" thickBot="1">
      <c r="A21" s="128">
        <v>15</v>
      </c>
      <c r="B21" s="122" t="s">
        <v>15</v>
      </c>
      <c r="C21" s="222">
        <v>1434170</v>
      </c>
      <c r="D21" s="222">
        <v>1594497</v>
      </c>
      <c r="E21" s="222">
        <v>1935704</v>
      </c>
      <c r="F21" s="223">
        <f t="shared" si="0"/>
        <v>1654790.3333333333</v>
      </c>
      <c r="G21" s="248">
        <v>633.32</v>
      </c>
      <c r="H21" s="248">
        <v>638.83</v>
      </c>
      <c r="I21" s="248">
        <v>644.16</v>
      </c>
      <c r="J21" s="249">
        <f t="shared" si="3"/>
        <v>638.77</v>
      </c>
      <c r="K21" s="133">
        <f t="shared" si="1"/>
        <v>2590.5886834593566</v>
      </c>
      <c r="L21" s="211">
        <v>644160</v>
      </c>
      <c r="M21" s="205">
        <f t="shared" si="2"/>
        <v>644.16</v>
      </c>
      <c r="N21" s="206"/>
      <c r="O21" s="206"/>
    </row>
    <row r="22" spans="1:15" ht="30" customHeight="1" thickBot="1">
      <c r="A22" s="128">
        <v>16</v>
      </c>
      <c r="B22" s="122" t="s">
        <v>16</v>
      </c>
      <c r="C22" s="222">
        <v>1276690</v>
      </c>
      <c r="D22" s="222">
        <v>1360122</v>
      </c>
      <c r="E22" s="222">
        <v>1569261</v>
      </c>
      <c r="F22" s="223">
        <f t="shared" si="0"/>
        <v>1402024.3333333333</v>
      </c>
      <c r="G22" s="248">
        <v>1715.32</v>
      </c>
      <c r="H22" s="248">
        <v>1749.56</v>
      </c>
      <c r="I22" s="248">
        <v>1784.06</v>
      </c>
      <c r="J22" s="249">
        <f t="shared" si="3"/>
        <v>1749.6466666666668</v>
      </c>
      <c r="K22" s="133">
        <f t="shared" si="1"/>
        <v>801.3185519362004</v>
      </c>
      <c r="L22" s="211">
        <v>1784060</v>
      </c>
      <c r="M22" s="205">
        <f t="shared" si="2"/>
        <v>1784.06</v>
      </c>
      <c r="N22" s="206"/>
      <c r="O22" s="208"/>
    </row>
    <row r="23" spans="1:15" ht="30" customHeight="1">
      <c r="A23" s="128">
        <v>17</v>
      </c>
      <c r="B23" s="122" t="s">
        <v>17</v>
      </c>
      <c r="C23" s="222">
        <v>704639</v>
      </c>
      <c r="D23" s="222">
        <v>876791</v>
      </c>
      <c r="E23" s="222">
        <v>992445</v>
      </c>
      <c r="F23" s="223">
        <f t="shared" si="0"/>
        <v>857958.3333333334</v>
      </c>
      <c r="G23" s="248">
        <v>819.28</v>
      </c>
      <c r="H23" s="248">
        <v>829.35</v>
      </c>
      <c r="I23" s="248">
        <v>839.02</v>
      </c>
      <c r="J23" s="249">
        <f>AVERAGE(G23:I23)</f>
        <v>829.2166666666667</v>
      </c>
      <c r="K23" s="133">
        <f t="shared" si="1"/>
        <v>1034.661226458706</v>
      </c>
      <c r="L23" s="211">
        <v>839020</v>
      </c>
      <c r="M23" s="205">
        <f t="shared" si="2"/>
        <v>839.02</v>
      </c>
      <c r="N23" s="206"/>
      <c r="O23" s="206"/>
    </row>
    <row r="24" spans="1:13" ht="30" customHeight="1">
      <c r="A24" s="137"/>
      <c r="B24" s="239" t="s">
        <v>35</v>
      </c>
      <c r="C24" s="222">
        <f>SUM(C7:C23)</f>
        <v>13137453</v>
      </c>
      <c r="D24" s="222">
        <f>SUM(D7:D23)</f>
        <v>14788218</v>
      </c>
      <c r="E24" s="222">
        <f>SUM(E7:E23)</f>
        <v>17440506</v>
      </c>
      <c r="F24" s="223">
        <f>AVERAGE(C24:E24)</f>
        <v>15122059</v>
      </c>
      <c r="G24" s="296">
        <f>SUM(G7:G23)</f>
        <v>9731.99</v>
      </c>
      <c r="H24" s="296">
        <f>SUM(H7:H23)</f>
        <v>9885.05</v>
      </c>
      <c r="I24" s="296">
        <f>SUM(I7:I23)</f>
        <v>10036.699999999999</v>
      </c>
      <c r="J24" s="250">
        <f t="shared" si="3"/>
        <v>9884.58</v>
      </c>
      <c r="K24" s="133">
        <f t="shared" si="1"/>
        <v>1529.8635855038858</v>
      </c>
      <c r="L24" s="211"/>
      <c r="M24" s="20"/>
    </row>
    <row r="25" spans="1:13" ht="21" customHeight="1">
      <c r="A25" s="15"/>
      <c r="B25" s="18" t="s">
        <v>76</v>
      </c>
      <c r="C25" s="13"/>
      <c r="D25" s="13"/>
      <c r="E25" s="13"/>
      <c r="F25" s="13"/>
      <c r="G25" s="13"/>
      <c r="H25" s="13"/>
      <c r="I25" s="13"/>
      <c r="J25" s="13"/>
      <c r="K25" s="13"/>
      <c r="L25" s="13"/>
      <c r="M25" s="20"/>
    </row>
    <row r="26" spans="1:13" ht="21" customHeight="1">
      <c r="A26" s="15"/>
      <c r="B26" s="18" t="s">
        <v>255</v>
      </c>
      <c r="C26" s="13"/>
      <c r="D26" s="13"/>
      <c r="E26" s="13"/>
      <c r="G26" s="13"/>
      <c r="H26" s="13"/>
      <c r="I26" s="13"/>
      <c r="J26" s="13"/>
      <c r="K26" s="13"/>
      <c r="L26" s="13"/>
      <c r="M26" s="20"/>
    </row>
    <row r="27" spans="1:13" ht="51.75" customHeight="1">
      <c r="A27" s="15"/>
      <c r="B27" s="18"/>
      <c r="C27" s="644" t="s">
        <v>224</v>
      </c>
      <c r="D27" s="644"/>
      <c r="E27" s="644"/>
      <c r="F27" s="644"/>
      <c r="G27" s="13"/>
      <c r="H27" s="13"/>
      <c r="I27" s="13"/>
      <c r="J27" s="13"/>
      <c r="K27" s="13"/>
      <c r="L27" s="13"/>
      <c r="M27" s="20"/>
    </row>
    <row r="28" spans="1:13" ht="24" customHeight="1">
      <c r="A28" s="655" t="s">
        <v>70</v>
      </c>
      <c r="B28" s="655"/>
      <c r="C28" s="655"/>
      <c r="D28" s="655"/>
      <c r="E28" s="655"/>
      <c r="F28" s="655"/>
      <c r="G28" s="13"/>
      <c r="H28" s="13"/>
      <c r="I28" s="13"/>
      <c r="J28" s="13"/>
      <c r="K28" s="13"/>
      <c r="L28" s="13"/>
      <c r="M28" s="20"/>
    </row>
    <row r="29" spans="1:13" ht="24.75" customHeight="1">
      <c r="A29" s="624" t="s">
        <v>113</v>
      </c>
      <c r="B29" s="624"/>
      <c r="C29" s="624"/>
      <c r="D29" s="624"/>
      <c r="E29" s="624"/>
      <c r="F29" s="624"/>
      <c r="H29" s="20"/>
      <c r="I29" s="20"/>
      <c r="J29" s="20"/>
      <c r="K29" s="20"/>
      <c r="L29" s="20"/>
      <c r="M29" s="20"/>
    </row>
    <row r="30" spans="5:13" ht="15.75" customHeight="1">
      <c r="E30"/>
      <c r="F30"/>
      <c r="G30"/>
      <c r="H30" s="20"/>
      <c r="I30" s="20"/>
      <c r="J30" s="20"/>
      <c r="K30" s="20"/>
      <c r="L30" s="20"/>
      <c r="M30" s="20"/>
    </row>
    <row r="31" spans="1:13" s="54" customFormat="1" ht="63.75" customHeight="1">
      <c r="A31" s="394" t="s">
        <v>239</v>
      </c>
      <c r="B31" s="334" t="s">
        <v>0</v>
      </c>
      <c r="C31" s="251" t="s">
        <v>243</v>
      </c>
      <c r="D31" s="251" t="s">
        <v>244</v>
      </c>
      <c r="E31" s="251" t="s">
        <v>218</v>
      </c>
      <c r="F31" s="393" t="s">
        <v>46</v>
      </c>
      <c r="H31" s="53"/>
      <c r="I31" s="53"/>
      <c r="J31" s="53"/>
      <c r="K31" s="53"/>
      <c r="L31" s="53"/>
      <c r="M31" s="53"/>
    </row>
    <row r="32" spans="1:13" s="399" customFormat="1" ht="19.5" customHeight="1">
      <c r="A32" s="395">
        <v>0</v>
      </c>
      <c r="B32" s="396">
        <v>1</v>
      </c>
      <c r="C32" s="396">
        <v>2</v>
      </c>
      <c r="D32" s="396">
        <v>3</v>
      </c>
      <c r="E32" s="397">
        <v>4</v>
      </c>
      <c r="F32" s="398">
        <v>5</v>
      </c>
      <c r="H32" s="400"/>
      <c r="I32" s="400"/>
      <c r="J32" s="400"/>
      <c r="K32" s="400"/>
      <c r="L32" s="400"/>
      <c r="M32" s="400"/>
    </row>
    <row r="33" spans="1:13" ht="30" customHeight="1">
      <c r="A33" s="121">
        <v>1</v>
      </c>
      <c r="B33" s="122" t="s">
        <v>2</v>
      </c>
      <c r="C33" s="123">
        <f>K7</f>
        <v>1809.7070746476247</v>
      </c>
      <c r="D33" s="124">
        <f>'Table-1-3'!F35</f>
        <v>21737.666666666668</v>
      </c>
      <c r="E33" s="123">
        <f>C33/D33*100</f>
        <v>8.325213107728327</v>
      </c>
      <c r="F33" s="138">
        <f>E33/$E$50*100</f>
        <v>6.059460759874817</v>
      </c>
      <c r="G33" s="297"/>
      <c r="H33" s="20"/>
      <c r="I33" s="20"/>
      <c r="J33" s="20"/>
      <c r="K33" s="20"/>
      <c r="L33" s="20"/>
      <c r="M33" s="20"/>
    </row>
    <row r="34" spans="1:13" ht="30" customHeight="1">
      <c r="A34" s="121">
        <v>2</v>
      </c>
      <c r="B34" s="122" t="s">
        <v>3</v>
      </c>
      <c r="C34" s="123">
        <f aca="true" t="shared" si="4" ref="C34:C49">K8</f>
        <v>362.23767126694503</v>
      </c>
      <c r="D34" s="124">
        <f>'Table-1-3'!F36</f>
        <v>6628.666666666667</v>
      </c>
      <c r="E34" s="123">
        <f aca="true" t="shared" si="5" ref="E34:E49">C34/D34*100</f>
        <v>5.464713938453359</v>
      </c>
      <c r="F34" s="138">
        <f aca="true" t="shared" si="6" ref="F34:F49">E34/$E$50*100</f>
        <v>3.977462107637817</v>
      </c>
      <c r="G34" s="297"/>
      <c r="H34" s="20"/>
      <c r="I34" s="20"/>
      <c r="J34" s="20"/>
      <c r="K34" s="20"/>
      <c r="L34" s="20"/>
      <c r="M34" s="20"/>
    </row>
    <row r="35" spans="1:13" ht="30" customHeight="1">
      <c r="A35" s="121">
        <v>3</v>
      </c>
      <c r="B35" s="122" t="s">
        <v>146</v>
      </c>
      <c r="C35" s="123">
        <f t="shared" si="4"/>
        <v>1247.3478640464411</v>
      </c>
      <c r="D35" s="124">
        <f>'Table-1-3'!F37</f>
        <v>15386</v>
      </c>
      <c r="E35" s="123">
        <f t="shared" si="5"/>
        <v>8.107031483468354</v>
      </c>
      <c r="F35" s="138">
        <f t="shared" si="6"/>
        <v>5.900658459726874</v>
      </c>
      <c r="G35" s="297"/>
      <c r="H35" s="20"/>
      <c r="I35" s="20"/>
      <c r="J35" s="20"/>
      <c r="K35" s="20"/>
      <c r="L35" s="20"/>
      <c r="M35" s="20"/>
    </row>
    <row r="36" spans="1:13" ht="30" customHeight="1">
      <c r="A36" s="121">
        <v>4</v>
      </c>
      <c r="B36" s="122" t="s">
        <v>5</v>
      </c>
      <c r="C36" s="123">
        <f t="shared" si="4"/>
        <v>5195.137724550898</v>
      </c>
      <c r="D36" s="124">
        <f>'Table-1-3'!F38</f>
        <v>59560.666666666664</v>
      </c>
      <c r="E36" s="123">
        <f t="shared" si="5"/>
        <v>8.722430448311915</v>
      </c>
      <c r="F36" s="138">
        <f t="shared" si="6"/>
        <v>6.348573225497316</v>
      </c>
      <c r="G36" s="297"/>
      <c r="H36" s="20"/>
      <c r="I36" s="20"/>
      <c r="J36" s="20"/>
      <c r="K36" s="20"/>
      <c r="L36" s="20"/>
      <c r="M36" s="20"/>
    </row>
    <row r="37" spans="1:13" ht="30" customHeight="1">
      <c r="A37" s="121">
        <v>5</v>
      </c>
      <c r="B37" s="122" t="s">
        <v>6</v>
      </c>
      <c r="C37" s="123">
        <f t="shared" si="4"/>
        <v>2118.82685539066</v>
      </c>
      <c r="D37" s="124">
        <f>'Table-1-3'!F39</f>
        <v>25415.333333333332</v>
      </c>
      <c r="E37" s="123">
        <f t="shared" si="5"/>
        <v>8.336805296241089</v>
      </c>
      <c r="F37" s="138">
        <f t="shared" si="6"/>
        <v>6.067898070788689</v>
      </c>
      <c r="G37" s="297"/>
      <c r="H37" s="20"/>
      <c r="I37" s="20"/>
      <c r="J37" s="20"/>
      <c r="K37" s="20"/>
      <c r="L37" s="20"/>
      <c r="M37" s="20"/>
    </row>
    <row r="38" spans="1:13" ht="30" customHeight="1">
      <c r="A38" s="121">
        <v>6</v>
      </c>
      <c r="B38" s="122" t="s">
        <v>7</v>
      </c>
      <c r="C38" s="123">
        <f t="shared" si="4"/>
        <v>2894.1377194426564</v>
      </c>
      <c r="D38" s="124">
        <f>'Table-1-3'!F40</f>
        <v>28689.666666666668</v>
      </c>
      <c r="E38" s="123">
        <f t="shared" si="5"/>
        <v>10.087735605535057</v>
      </c>
      <c r="F38" s="138">
        <f t="shared" si="6"/>
        <v>7.342303105849385</v>
      </c>
      <c r="G38" s="297"/>
      <c r="H38" s="20"/>
      <c r="I38" s="20"/>
      <c r="J38" s="20"/>
      <c r="K38" s="20"/>
      <c r="L38" s="20"/>
      <c r="M38" s="20"/>
    </row>
    <row r="39" spans="1:13" ht="30" customHeight="1">
      <c r="A39" s="121">
        <v>7</v>
      </c>
      <c r="B39" s="122" t="s">
        <v>139</v>
      </c>
      <c r="C39" s="123">
        <f t="shared" si="4"/>
        <v>822.3149384802675</v>
      </c>
      <c r="D39" s="124">
        <f>'Table-1-3'!F41</f>
        <v>14063.666666666666</v>
      </c>
      <c r="E39" s="123">
        <f t="shared" si="5"/>
        <v>5.847087804130745</v>
      </c>
      <c r="F39" s="138">
        <f t="shared" si="6"/>
        <v>4.2557708313535985</v>
      </c>
      <c r="G39" s="297"/>
      <c r="H39" s="20"/>
      <c r="I39" s="20"/>
      <c r="J39" s="20"/>
      <c r="K39" s="20"/>
      <c r="L39" s="20"/>
      <c r="M39" s="20"/>
    </row>
    <row r="40" spans="1:13" ht="30" customHeight="1">
      <c r="A40" s="121">
        <v>8</v>
      </c>
      <c r="B40" s="122" t="s">
        <v>8</v>
      </c>
      <c r="C40" s="123">
        <f t="shared" si="4"/>
        <v>2383.7846904544067</v>
      </c>
      <c r="D40" s="124">
        <f>'Table-1-3'!F42</f>
        <v>22264.333333333332</v>
      </c>
      <c r="E40" s="123">
        <f t="shared" si="5"/>
        <v>10.706741831274567</v>
      </c>
      <c r="F40" s="138">
        <f t="shared" si="6"/>
        <v>7.792843396704503</v>
      </c>
      <c r="G40" s="297"/>
      <c r="H40" s="20"/>
      <c r="I40" s="20"/>
      <c r="J40" s="20"/>
      <c r="K40" s="20"/>
      <c r="L40" s="20"/>
      <c r="M40" s="20"/>
    </row>
    <row r="41" spans="1:13" ht="30" customHeight="1">
      <c r="A41" s="121">
        <v>9</v>
      </c>
      <c r="B41" s="122" t="s">
        <v>9</v>
      </c>
      <c r="C41" s="123">
        <f t="shared" si="4"/>
        <v>2491.0697664904005</v>
      </c>
      <c r="D41" s="124">
        <f>'Table-1-3'!F43</f>
        <v>26493.666666666668</v>
      </c>
      <c r="E41" s="123">
        <f t="shared" si="5"/>
        <v>9.402510410627949</v>
      </c>
      <c r="F41" s="138">
        <f t="shared" si="6"/>
        <v>6.843565700993912</v>
      </c>
      <c r="G41" s="297"/>
      <c r="H41" s="20"/>
      <c r="I41" s="20"/>
      <c r="J41" s="20"/>
      <c r="K41" s="20"/>
      <c r="L41" s="20"/>
      <c r="M41" s="20"/>
    </row>
    <row r="42" spans="1:13" ht="30" customHeight="1">
      <c r="A42" s="121">
        <v>10</v>
      </c>
      <c r="B42" s="122" t="s">
        <v>10</v>
      </c>
      <c r="C42" s="123">
        <f t="shared" si="4"/>
        <v>1087.990742732993</v>
      </c>
      <c r="D42" s="124">
        <f>'Table-1-3'!F44</f>
        <v>13774.666666666666</v>
      </c>
      <c r="E42" s="123">
        <f t="shared" si="5"/>
        <v>7.89849053382775</v>
      </c>
      <c r="F42" s="138">
        <f t="shared" si="6"/>
        <v>5.748873071794735</v>
      </c>
      <c r="G42" s="297"/>
      <c r="H42" s="20"/>
      <c r="I42" s="20"/>
      <c r="J42" s="20"/>
      <c r="K42" s="20"/>
      <c r="L42" s="20"/>
      <c r="M42" s="20"/>
    </row>
    <row r="43" spans="1:13" ht="30" customHeight="1">
      <c r="A43" s="121">
        <v>11</v>
      </c>
      <c r="B43" s="122" t="s">
        <v>11</v>
      </c>
      <c r="C43" s="123">
        <f t="shared" si="4"/>
        <v>2594.1938508367366</v>
      </c>
      <c r="D43" s="124">
        <f>'Table-1-3'!F45</f>
        <v>29194.333333333332</v>
      </c>
      <c r="E43" s="123">
        <f t="shared" si="5"/>
        <v>8.88594995890779</v>
      </c>
      <c r="F43" s="138">
        <f t="shared" si="6"/>
        <v>6.46759000562152</v>
      </c>
      <c r="G43" s="297"/>
      <c r="H43" s="20"/>
      <c r="I43" s="20"/>
      <c r="J43" s="20"/>
      <c r="K43" s="20"/>
      <c r="L43" s="20"/>
      <c r="M43" s="20"/>
    </row>
    <row r="44" spans="1:13" ht="30" customHeight="1">
      <c r="A44" s="121">
        <v>12</v>
      </c>
      <c r="B44" s="122" t="s">
        <v>12</v>
      </c>
      <c r="C44" s="123">
        <f t="shared" si="4"/>
        <v>909.8810580819846</v>
      </c>
      <c r="D44" s="124">
        <f>'Table-1-3'!F46</f>
        <v>13867.666666666666</v>
      </c>
      <c r="E44" s="123">
        <f t="shared" si="5"/>
        <v>6.561169084551484</v>
      </c>
      <c r="F44" s="138">
        <f t="shared" si="6"/>
        <v>4.775510979993626</v>
      </c>
      <c r="G44" s="297"/>
      <c r="H44" s="20"/>
      <c r="I44" s="20"/>
      <c r="J44" s="20"/>
      <c r="K44" s="20"/>
      <c r="L44" s="20"/>
      <c r="M44" s="20"/>
    </row>
    <row r="45" spans="1:13" ht="30" customHeight="1">
      <c r="A45" s="121">
        <v>13</v>
      </c>
      <c r="B45" s="122" t="s">
        <v>13</v>
      </c>
      <c r="C45" s="123">
        <f t="shared" si="4"/>
        <v>2482.7751954362984</v>
      </c>
      <c r="D45" s="124">
        <f>'Table-1-3'!F47</f>
        <v>30112</v>
      </c>
      <c r="E45" s="123">
        <f t="shared" si="5"/>
        <v>8.245135478999396</v>
      </c>
      <c r="F45" s="138">
        <f t="shared" si="6"/>
        <v>6.001176696422274</v>
      </c>
      <c r="G45" s="297"/>
      <c r="H45" s="20"/>
      <c r="I45" s="20"/>
      <c r="J45" s="20"/>
      <c r="K45" s="20"/>
      <c r="L45" s="20"/>
      <c r="M45" s="20"/>
    </row>
    <row r="46" spans="1:13" ht="30" customHeight="1">
      <c r="A46" s="121">
        <v>14</v>
      </c>
      <c r="B46" s="122" t="s">
        <v>14</v>
      </c>
      <c r="C46" s="123">
        <f t="shared" si="4"/>
        <v>1227.4746263975087</v>
      </c>
      <c r="D46" s="124">
        <f>'Table-1-3'!F48</f>
        <v>15123.666666666666</v>
      </c>
      <c r="E46" s="123">
        <f t="shared" si="5"/>
        <v>8.116250202095008</v>
      </c>
      <c r="F46" s="138">
        <f t="shared" si="6"/>
        <v>5.907368253584605</v>
      </c>
      <c r="G46" s="297"/>
      <c r="H46" s="20"/>
      <c r="I46" s="20"/>
      <c r="J46" s="20"/>
      <c r="K46" s="20"/>
      <c r="L46" s="20"/>
      <c r="M46" s="20"/>
    </row>
    <row r="47" spans="1:13" ht="30" customHeight="1">
      <c r="A47" s="121">
        <v>15</v>
      </c>
      <c r="B47" s="122" t="s">
        <v>15</v>
      </c>
      <c r="C47" s="123">
        <f t="shared" si="4"/>
        <v>2590.5886834593566</v>
      </c>
      <c r="D47" s="124">
        <f>'Table-1-3'!F49</f>
        <v>24948.333333333332</v>
      </c>
      <c r="E47" s="123">
        <f t="shared" si="5"/>
        <v>10.383814617380011</v>
      </c>
      <c r="F47" s="138">
        <f t="shared" si="6"/>
        <v>7.557802592875315</v>
      </c>
      <c r="G47" s="297"/>
      <c r="H47" s="20"/>
      <c r="I47" s="20"/>
      <c r="J47" s="20"/>
      <c r="K47" s="20"/>
      <c r="L47" s="20"/>
      <c r="M47" s="20"/>
    </row>
    <row r="48" spans="1:13" ht="30" customHeight="1">
      <c r="A48" s="121">
        <v>16</v>
      </c>
      <c r="B48" s="122" t="s">
        <v>16</v>
      </c>
      <c r="C48" s="123">
        <f t="shared" si="4"/>
        <v>801.3185519362004</v>
      </c>
      <c r="D48" s="124">
        <f>'Table-1-3'!F50</f>
        <v>11682.666666666666</v>
      </c>
      <c r="E48" s="123">
        <f t="shared" si="5"/>
        <v>6.859038050127257</v>
      </c>
      <c r="F48" s="138">
        <f t="shared" si="6"/>
        <v>4.992313275038228</v>
      </c>
      <c r="G48" s="297"/>
      <c r="H48" s="20"/>
      <c r="I48" s="20"/>
      <c r="J48" s="20"/>
      <c r="K48" s="20"/>
      <c r="L48" s="20"/>
      <c r="M48" s="20"/>
    </row>
    <row r="49" spans="1:13" ht="30" customHeight="1">
      <c r="A49" s="121">
        <v>17</v>
      </c>
      <c r="B49" s="122" t="s">
        <v>17</v>
      </c>
      <c r="C49" s="123">
        <f t="shared" si="4"/>
        <v>1034.661226458706</v>
      </c>
      <c r="D49" s="124">
        <f>'Table-1-3'!F51</f>
        <v>19013</v>
      </c>
      <c r="E49" s="123">
        <f t="shared" si="5"/>
        <v>5.441862023135256</v>
      </c>
      <c r="F49" s="138">
        <f t="shared" si="6"/>
        <v>3.960829466242789</v>
      </c>
      <c r="G49" s="297"/>
      <c r="H49" s="20"/>
      <c r="I49" s="20"/>
      <c r="J49" s="20"/>
      <c r="K49" s="20"/>
      <c r="L49" s="20"/>
      <c r="M49" s="20"/>
    </row>
    <row r="50" spans="1:13" ht="30" customHeight="1">
      <c r="A50" s="121"/>
      <c r="B50" s="401" t="s">
        <v>28</v>
      </c>
      <c r="C50" s="133">
        <f>SUM(C33:C49)</f>
        <v>32053.448240110087</v>
      </c>
      <c r="D50" s="133">
        <f>SUM(D33:D49)</f>
        <v>377956</v>
      </c>
      <c r="E50" s="133">
        <f>SUM(E33:E49)</f>
        <v>137.3919798747953</v>
      </c>
      <c r="F50" s="138">
        <f>E50/$E$50*100</f>
        <v>100</v>
      </c>
      <c r="G50" s="298"/>
      <c r="H50" s="20"/>
      <c r="I50" s="20"/>
      <c r="J50" s="20"/>
      <c r="K50" s="20"/>
      <c r="L50" s="20"/>
      <c r="M50" s="20"/>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sheetData>
  <mergeCells count="10">
    <mergeCell ref="A29:F29"/>
    <mergeCell ref="H1:K1"/>
    <mergeCell ref="K4:K5"/>
    <mergeCell ref="A2:K2"/>
    <mergeCell ref="B4:B5"/>
    <mergeCell ref="A4:A5"/>
    <mergeCell ref="C4:F4"/>
    <mergeCell ref="G4:J4"/>
    <mergeCell ref="A28:F28"/>
    <mergeCell ref="C27:F27"/>
  </mergeCells>
  <printOptions horizontalCentered="1"/>
  <pageMargins left="0.6299212598425197" right="0.5511811023622047" top="0.9055118110236221" bottom="0.4724409448818898" header="0.8661417322834646" footer="0.5118110236220472"/>
  <pageSetup horizontalDpi="180" verticalDpi="180" orientation="portrait" paperSize="9" scale="53" r:id="rId1"/>
  <rowBreaks count="1" manualBreakCount="1">
    <brk id="26" max="5" man="1"/>
  </rowBreaks>
</worksheet>
</file>

<file path=xl/worksheets/sheet4.xml><?xml version="1.0" encoding="utf-8"?>
<worksheet xmlns="http://schemas.openxmlformats.org/spreadsheetml/2006/main" xmlns:r="http://schemas.openxmlformats.org/officeDocument/2006/relationships">
  <sheetPr codeName="Sheet15">
    <tabColor indexed="17"/>
  </sheetPr>
  <dimension ref="A1:U52"/>
  <sheetViews>
    <sheetView view="pageBreakPreview" zoomScaleSheetLayoutView="100" workbookViewId="0" topLeftCell="C1">
      <selection activeCell="I32" sqref="I32"/>
    </sheetView>
  </sheetViews>
  <sheetFormatPr defaultColWidth="9.00390625" defaultRowHeight="12.75"/>
  <cols>
    <col min="1" max="1" width="4.50390625" style="3" customWidth="1"/>
    <col min="2" max="2" width="18.375" style="3" customWidth="1"/>
    <col min="3" max="6" width="11.625" style="3" customWidth="1"/>
    <col min="7" max="7" width="12.75390625" style="3" customWidth="1"/>
    <col min="8" max="14" width="11.625" style="3" customWidth="1"/>
    <col min="15" max="16384" width="9.00390625" style="3" customWidth="1"/>
  </cols>
  <sheetData>
    <row r="1" spans="10:14" ht="21.75" customHeight="1">
      <c r="J1" s="197"/>
      <c r="K1" s="644" t="s">
        <v>224</v>
      </c>
      <c r="L1" s="644"/>
      <c r="M1" s="644"/>
      <c r="N1" s="644"/>
    </row>
    <row r="2" spans="1:14" ht="16.5" customHeight="1">
      <c r="A2" s="660" t="s">
        <v>156</v>
      </c>
      <c r="B2" s="660"/>
      <c r="C2" s="660"/>
      <c r="D2" s="660"/>
      <c r="E2" s="660"/>
      <c r="F2" s="660"/>
      <c r="G2" s="660"/>
      <c r="H2" s="660"/>
      <c r="I2" s="660"/>
      <c r="J2" s="660"/>
      <c r="K2" s="660"/>
      <c r="L2" s="660"/>
      <c r="M2" s="660"/>
      <c r="N2" s="660"/>
    </row>
    <row r="3" spans="1:14" ht="19.5" customHeight="1">
      <c r="A3" s="656" t="s">
        <v>230</v>
      </c>
      <c r="B3" s="656"/>
      <c r="C3" s="656"/>
      <c r="D3" s="656"/>
      <c r="E3" s="656"/>
      <c r="F3" s="656"/>
      <c r="G3" s="656"/>
      <c r="H3" s="656"/>
      <c r="I3" s="656"/>
      <c r="J3" s="656"/>
      <c r="K3" s="656"/>
      <c r="L3" s="656"/>
      <c r="M3" s="656"/>
      <c r="N3" s="656"/>
    </row>
    <row r="4" spans="1:14" ht="19.5" customHeight="1">
      <c r="A4" s="15"/>
      <c r="B4" s="214"/>
      <c r="C4" s="214">
        <v>1936.8342999999995</v>
      </c>
      <c r="D4" s="214">
        <v>3244.12</v>
      </c>
      <c r="E4" s="214">
        <v>3031.7916999999998</v>
      </c>
      <c r="F4" s="214">
        <v>3210.134320939829</v>
      </c>
      <c r="G4" s="214"/>
      <c r="H4" s="214">
        <v>6985.678300000001</v>
      </c>
      <c r="I4" s="214"/>
      <c r="J4" s="35"/>
      <c r="K4" s="35"/>
      <c r="L4" s="15"/>
      <c r="M4" s="15"/>
      <c r="N4" s="408" t="s">
        <v>126</v>
      </c>
    </row>
    <row r="5" spans="1:21" ht="34.5" customHeight="1">
      <c r="A5" s="663" t="s">
        <v>239</v>
      </c>
      <c r="B5" s="662" t="s">
        <v>0</v>
      </c>
      <c r="C5" s="659" t="s">
        <v>147</v>
      </c>
      <c r="D5" s="659"/>
      <c r="E5" s="659" t="s">
        <v>192</v>
      </c>
      <c r="F5" s="659"/>
      <c r="G5" s="659" t="s">
        <v>191</v>
      </c>
      <c r="H5" s="659"/>
      <c r="I5" s="659" t="s">
        <v>179</v>
      </c>
      <c r="J5" s="659"/>
      <c r="K5" s="659" t="s">
        <v>184</v>
      </c>
      <c r="L5" s="661"/>
      <c r="M5" s="659" t="s">
        <v>231</v>
      </c>
      <c r="N5" s="661"/>
      <c r="O5" s="4"/>
      <c r="P5" s="4"/>
      <c r="Q5" s="4"/>
      <c r="R5" s="4"/>
      <c r="S5" s="4"/>
      <c r="T5" s="4"/>
      <c r="U5" s="4"/>
    </row>
    <row r="6" spans="1:21" ht="27" customHeight="1">
      <c r="A6" s="663"/>
      <c r="B6" s="662"/>
      <c r="C6" s="216" t="s">
        <v>36</v>
      </c>
      <c r="D6" s="217" t="s">
        <v>37</v>
      </c>
      <c r="E6" s="216" t="s">
        <v>36</v>
      </c>
      <c r="F6" s="217" t="s">
        <v>37</v>
      </c>
      <c r="G6" s="216" t="s">
        <v>36</v>
      </c>
      <c r="H6" s="217" t="s">
        <v>37</v>
      </c>
      <c r="I6" s="218" t="s">
        <v>36</v>
      </c>
      <c r="J6" s="294" t="s">
        <v>37</v>
      </c>
      <c r="K6" s="295" t="s">
        <v>36</v>
      </c>
      <c r="L6" s="294" t="s">
        <v>229</v>
      </c>
      <c r="M6" s="295" t="s">
        <v>36</v>
      </c>
      <c r="N6" s="295" t="s">
        <v>163</v>
      </c>
      <c r="O6" s="4"/>
      <c r="P6" s="4" t="s">
        <v>280</v>
      </c>
      <c r="Q6" s="4" t="s">
        <v>281</v>
      </c>
      <c r="R6" s="4"/>
      <c r="S6" s="4"/>
      <c r="T6" s="4"/>
      <c r="U6" s="4"/>
    </row>
    <row r="7" spans="1:18" ht="24.75" customHeight="1">
      <c r="A7" s="215">
        <v>1</v>
      </c>
      <c r="B7" s="219" t="s">
        <v>193</v>
      </c>
      <c r="C7" s="285">
        <v>4078.4</v>
      </c>
      <c r="D7" s="448">
        <v>4857.13</v>
      </c>
      <c r="E7" s="285">
        <v>4483.980000000005</v>
      </c>
      <c r="F7" s="448">
        <v>5313.2</v>
      </c>
      <c r="G7" s="285">
        <v>6530.32</v>
      </c>
      <c r="H7" s="448">
        <v>8219.04</v>
      </c>
      <c r="I7" s="285">
        <v>9376.31</v>
      </c>
      <c r="J7" s="448">
        <v>12030.67</v>
      </c>
      <c r="K7" s="285">
        <v>14733.62</v>
      </c>
      <c r="L7" s="448">
        <v>16149.03</v>
      </c>
      <c r="M7" s="285">
        <f>C7+E7+G7+I7+K7</f>
        <v>39202.630000000005</v>
      </c>
      <c r="N7" s="285">
        <f>D7+F7+H7+J7+L7</f>
        <v>46569.07</v>
      </c>
      <c r="O7" s="449"/>
      <c r="P7" s="449">
        <v>44935.4</v>
      </c>
      <c r="Q7" s="453">
        <f>N7-P7</f>
        <v>1633.6699999999983</v>
      </c>
      <c r="R7" s="449"/>
    </row>
    <row r="8" spans="1:18" ht="24.75" customHeight="1">
      <c r="A8" s="215">
        <v>2</v>
      </c>
      <c r="B8" s="219" t="s">
        <v>194</v>
      </c>
      <c r="C8" s="285">
        <v>699.12</v>
      </c>
      <c r="D8" s="448">
        <v>607.76</v>
      </c>
      <c r="E8" s="285">
        <v>574.26</v>
      </c>
      <c r="F8" s="448">
        <v>1226.44</v>
      </c>
      <c r="G8" s="285">
        <v>1097.33</v>
      </c>
      <c r="H8" s="448">
        <v>1186.93</v>
      </c>
      <c r="I8" s="285">
        <v>1607.05</v>
      </c>
      <c r="J8" s="448">
        <v>3068.45</v>
      </c>
      <c r="K8" s="285">
        <v>3747.39</v>
      </c>
      <c r="L8" s="448">
        <v>3747.39</v>
      </c>
      <c r="M8" s="285">
        <f aca="true" t="shared" si="0" ref="M8:M24">C8+E8+G8+I8+K8</f>
        <v>7725.15</v>
      </c>
      <c r="N8" s="285">
        <f aca="true" t="shared" si="1" ref="N8:N24">D8+F8+H8+J8+L8</f>
        <v>9836.97</v>
      </c>
      <c r="O8" s="449"/>
      <c r="P8" s="449">
        <v>9839.49</v>
      </c>
      <c r="Q8" s="453">
        <f aca="true" t="shared" si="2" ref="Q8:Q24">N8-P8</f>
        <v>-2.5200000000004366</v>
      </c>
      <c r="R8" s="449"/>
    </row>
    <row r="9" spans="1:18" ht="24.75" customHeight="1">
      <c r="A9" s="215">
        <v>3</v>
      </c>
      <c r="B9" s="219" t="s">
        <v>195</v>
      </c>
      <c r="C9" s="285">
        <v>1011.9</v>
      </c>
      <c r="D9" s="450">
        <v>1936.8342999999995</v>
      </c>
      <c r="E9" s="285">
        <v>1476.01</v>
      </c>
      <c r="F9" s="450">
        <v>3244.12</v>
      </c>
      <c r="G9" s="285">
        <v>2048.23</v>
      </c>
      <c r="H9" s="450">
        <v>3031.7916999999998</v>
      </c>
      <c r="I9" s="285">
        <v>2964.13</v>
      </c>
      <c r="J9" s="450">
        <v>3210.134320939829</v>
      </c>
      <c r="K9" s="285">
        <v>3867.08</v>
      </c>
      <c r="L9" s="450">
        <v>6985.678300000001</v>
      </c>
      <c r="M9" s="285">
        <f t="shared" si="0"/>
        <v>11367.349999999999</v>
      </c>
      <c r="N9" s="285">
        <f t="shared" si="1"/>
        <v>18408.55862093983</v>
      </c>
      <c r="O9" s="449"/>
      <c r="P9" s="449">
        <v>15135.04</v>
      </c>
      <c r="Q9" s="453">
        <f t="shared" si="2"/>
        <v>3273.5186209398307</v>
      </c>
      <c r="R9" s="449"/>
    </row>
    <row r="10" spans="1:18" ht="24.75" customHeight="1">
      <c r="A10" s="215">
        <v>4</v>
      </c>
      <c r="B10" s="219" t="s">
        <v>196</v>
      </c>
      <c r="C10" s="285">
        <v>432.95</v>
      </c>
      <c r="D10" s="448">
        <v>335.14</v>
      </c>
      <c r="E10" s="285">
        <v>533.18</v>
      </c>
      <c r="F10" s="448">
        <v>529.33</v>
      </c>
      <c r="G10" s="285">
        <v>774.04</v>
      </c>
      <c r="H10" s="285">
        <v>827.78</v>
      </c>
      <c r="I10" s="285">
        <v>826.82</v>
      </c>
      <c r="J10" s="285">
        <v>920.97</v>
      </c>
      <c r="K10" s="285">
        <v>835.79</v>
      </c>
      <c r="L10" s="285">
        <v>863.0470000000003</v>
      </c>
      <c r="M10" s="285">
        <f t="shared" si="0"/>
        <v>3402.7799999999997</v>
      </c>
      <c r="N10" s="285">
        <f t="shared" si="1"/>
        <v>3476.2670000000007</v>
      </c>
      <c r="O10" s="449"/>
      <c r="P10" s="449">
        <v>3080.92</v>
      </c>
      <c r="Q10" s="453">
        <f t="shared" si="2"/>
        <v>395.34700000000066</v>
      </c>
      <c r="R10" s="449"/>
    </row>
    <row r="11" spans="1:18" ht="24.75" customHeight="1">
      <c r="A11" s="215">
        <v>5</v>
      </c>
      <c r="B11" s="219" t="s">
        <v>197</v>
      </c>
      <c r="C11" s="285">
        <v>2344.89</v>
      </c>
      <c r="D11" s="448">
        <v>3806.6710000000026</v>
      </c>
      <c r="E11" s="285">
        <v>3654</v>
      </c>
      <c r="F11" s="448">
        <v>3363.69</v>
      </c>
      <c r="G11" s="285">
        <v>4732.63</v>
      </c>
      <c r="H11" s="448">
        <v>7592.3</v>
      </c>
      <c r="I11" s="285">
        <v>7456.51</v>
      </c>
      <c r="J11" s="448">
        <v>11049.63</v>
      </c>
      <c r="K11" s="285">
        <v>8687.63</v>
      </c>
      <c r="L11" s="448">
        <v>10342.19</v>
      </c>
      <c r="M11" s="285">
        <f t="shared" si="0"/>
        <v>26875.659999999996</v>
      </c>
      <c r="N11" s="285">
        <f t="shared" si="1"/>
        <v>36154.48100000001</v>
      </c>
      <c r="O11" s="449"/>
      <c r="P11" s="449">
        <v>42628.01</v>
      </c>
      <c r="Q11" s="453">
        <f t="shared" si="2"/>
        <v>-6473.528999999995</v>
      </c>
      <c r="R11" s="449"/>
    </row>
    <row r="12" spans="1:18" ht="24.75" customHeight="1">
      <c r="A12" s="215">
        <v>6</v>
      </c>
      <c r="B12" s="219" t="s">
        <v>198</v>
      </c>
      <c r="C12" s="285">
        <v>1441.4</v>
      </c>
      <c r="D12" s="448">
        <v>1589.37</v>
      </c>
      <c r="E12" s="285">
        <v>1491.85</v>
      </c>
      <c r="F12" s="448">
        <v>2053.47</v>
      </c>
      <c r="G12" s="285">
        <v>1761.25</v>
      </c>
      <c r="H12" s="448">
        <v>2081.7</v>
      </c>
      <c r="I12" s="285">
        <v>2365.41</v>
      </c>
      <c r="J12" s="448">
        <v>2732.55</v>
      </c>
      <c r="K12" s="285">
        <v>2614.54</v>
      </c>
      <c r="L12" s="448">
        <v>3326.63</v>
      </c>
      <c r="M12" s="285">
        <f t="shared" si="0"/>
        <v>9674.45</v>
      </c>
      <c r="N12" s="285">
        <f t="shared" si="1"/>
        <v>11783.720000000001</v>
      </c>
      <c r="O12" s="449"/>
      <c r="P12" s="449">
        <v>11380.66</v>
      </c>
      <c r="Q12" s="453">
        <f t="shared" si="2"/>
        <v>403.0600000000013</v>
      </c>
      <c r="R12" s="449"/>
    </row>
    <row r="13" spans="1:18" ht="24.75" customHeight="1">
      <c r="A13" s="215">
        <v>7</v>
      </c>
      <c r="B13" s="219" t="s">
        <v>144</v>
      </c>
      <c r="C13" s="285">
        <v>1796.29</v>
      </c>
      <c r="D13" s="214">
        <v>1936.8342999999995</v>
      </c>
      <c r="E13" s="285">
        <v>2003.67</v>
      </c>
      <c r="F13" s="214">
        <v>3244.12</v>
      </c>
      <c r="G13" s="285">
        <v>2811.17</v>
      </c>
      <c r="H13" s="214">
        <v>3031.7916999999998</v>
      </c>
      <c r="I13" s="285">
        <v>3044.74</v>
      </c>
      <c r="J13" s="214">
        <v>3210.134320939829</v>
      </c>
      <c r="K13" s="285">
        <v>5090.62</v>
      </c>
      <c r="L13" s="214">
        <v>6985.678300000001</v>
      </c>
      <c r="M13" s="285">
        <f t="shared" si="0"/>
        <v>14746.489999999998</v>
      </c>
      <c r="N13" s="285">
        <f t="shared" si="1"/>
        <v>18408.55862093983</v>
      </c>
      <c r="O13" s="449"/>
      <c r="P13" s="449">
        <v>13557.54</v>
      </c>
      <c r="Q13" s="453">
        <f t="shared" si="2"/>
        <v>4851.018620939831</v>
      </c>
      <c r="R13" s="449"/>
    </row>
    <row r="14" spans="1:18" ht="24.75" customHeight="1">
      <c r="A14" s="215">
        <v>8</v>
      </c>
      <c r="B14" s="219" t="s">
        <v>199</v>
      </c>
      <c r="C14" s="285">
        <v>5130.04</v>
      </c>
      <c r="D14" s="448">
        <v>7670.614573999997</v>
      </c>
      <c r="E14" s="285">
        <v>5653.65</v>
      </c>
      <c r="F14" s="448">
        <v>7943.075763899999</v>
      </c>
      <c r="G14" s="285">
        <v>9176.77</v>
      </c>
      <c r="H14" s="448">
        <v>10915.0697231</v>
      </c>
      <c r="I14" s="285">
        <v>10189.71</v>
      </c>
      <c r="J14" s="448">
        <v>11802.574483699995</v>
      </c>
      <c r="K14" s="285">
        <v>12140.84</v>
      </c>
      <c r="L14" s="448">
        <v>14318.500499999995</v>
      </c>
      <c r="M14" s="285">
        <f t="shared" si="0"/>
        <v>42291.009999999995</v>
      </c>
      <c r="N14" s="285">
        <f t="shared" si="1"/>
        <v>52649.83504469998</v>
      </c>
      <c r="O14" s="449"/>
      <c r="P14" s="449">
        <v>46765.77</v>
      </c>
      <c r="Q14" s="453">
        <f t="shared" si="2"/>
        <v>5884.065044699986</v>
      </c>
      <c r="R14" s="449"/>
    </row>
    <row r="15" spans="1:18" ht="24.75" customHeight="1">
      <c r="A15" s="215">
        <v>9</v>
      </c>
      <c r="B15" s="219" t="s">
        <v>200</v>
      </c>
      <c r="C15" s="285">
        <v>1718.15</v>
      </c>
      <c r="D15" s="448">
        <v>2507.01</v>
      </c>
      <c r="E15" s="285">
        <v>1945.32</v>
      </c>
      <c r="F15" s="448">
        <v>1832.82</v>
      </c>
      <c r="G15" s="285">
        <v>2064.58</v>
      </c>
      <c r="H15" s="448">
        <v>2018.01</v>
      </c>
      <c r="I15" s="285">
        <v>2666.73</v>
      </c>
      <c r="J15" s="448">
        <v>4020.67</v>
      </c>
      <c r="K15" s="285">
        <v>4028.77</v>
      </c>
      <c r="L15" s="448">
        <v>3662.203999999999</v>
      </c>
      <c r="M15" s="285">
        <f t="shared" si="0"/>
        <v>12423.550000000001</v>
      </c>
      <c r="N15" s="285">
        <f t="shared" si="1"/>
        <v>14040.714</v>
      </c>
      <c r="O15" s="449"/>
      <c r="P15" s="449">
        <v>11787.63</v>
      </c>
      <c r="Q15" s="453">
        <f t="shared" si="2"/>
        <v>2253.0840000000007</v>
      </c>
      <c r="R15" s="449"/>
    </row>
    <row r="16" spans="1:18" ht="24.75" customHeight="1">
      <c r="A16" s="215">
        <v>10</v>
      </c>
      <c r="B16" s="219" t="s">
        <v>201</v>
      </c>
      <c r="C16" s="285">
        <v>2612.6</v>
      </c>
      <c r="D16" s="451">
        <v>3813.53</v>
      </c>
      <c r="E16" s="285">
        <v>2999.6</v>
      </c>
      <c r="F16" s="451">
        <v>3066.86</v>
      </c>
      <c r="G16" s="285">
        <v>3376.6</v>
      </c>
      <c r="H16" s="451">
        <v>4033.43</v>
      </c>
      <c r="I16" s="285">
        <v>3962.86</v>
      </c>
      <c r="J16" s="451">
        <v>6256.53</v>
      </c>
      <c r="K16" s="285">
        <v>4776.47</v>
      </c>
      <c r="L16" s="451">
        <v>7449.45</v>
      </c>
      <c r="M16" s="285">
        <f t="shared" si="0"/>
        <v>17728.13</v>
      </c>
      <c r="N16" s="285">
        <f t="shared" si="1"/>
        <v>24619.8</v>
      </c>
      <c r="O16" s="449"/>
      <c r="P16" s="449">
        <v>20919.42</v>
      </c>
      <c r="Q16" s="453">
        <f t="shared" si="2"/>
        <v>3700.380000000001</v>
      </c>
      <c r="R16" s="449"/>
    </row>
    <row r="17" spans="1:18" ht="24.75" customHeight="1">
      <c r="A17" s="215">
        <v>11</v>
      </c>
      <c r="B17" s="219" t="s">
        <v>202</v>
      </c>
      <c r="C17" s="285">
        <v>9068.1</v>
      </c>
      <c r="D17" s="448">
        <v>5713.54</v>
      </c>
      <c r="E17" s="285">
        <v>9289.26</v>
      </c>
      <c r="F17" s="448">
        <v>6669.61</v>
      </c>
      <c r="G17" s="285">
        <v>6195.8</v>
      </c>
      <c r="H17" s="448">
        <v>6320.03</v>
      </c>
      <c r="I17" s="285">
        <v>6142.22</v>
      </c>
      <c r="J17" s="448">
        <v>10656.54</v>
      </c>
      <c r="K17" s="285">
        <v>9780</v>
      </c>
      <c r="L17" s="448">
        <v>13573.337499999994</v>
      </c>
      <c r="M17" s="285">
        <f t="shared" si="0"/>
        <v>40475.380000000005</v>
      </c>
      <c r="N17" s="285">
        <f t="shared" si="1"/>
        <v>42933.057499999995</v>
      </c>
      <c r="O17" s="449"/>
      <c r="P17" s="449">
        <v>42932.69</v>
      </c>
      <c r="Q17" s="453">
        <f t="shared" si="2"/>
        <v>0.3674999999930151</v>
      </c>
      <c r="R17" s="449"/>
    </row>
    <row r="18" spans="1:18" ht="24.75" customHeight="1">
      <c r="A18" s="215">
        <v>12</v>
      </c>
      <c r="B18" s="219" t="s">
        <v>203</v>
      </c>
      <c r="C18" s="285">
        <v>-465.13</v>
      </c>
      <c r="D18" s="448">
        <v>1420.0676385999998</v>
      </c>
      <c r="E18" s="285">
        <v>-613.95</v>
      </c>
      <c r="F18" s="448">
        <v>947.1861999999996</v>
      </c>
      <c r="G18" s="285">
        <v>-1066.9</v>
      </c>
      <c r="H18" s="448">
        <v>699.5074999999979</v>
      </c>
      <c r="I18" s="285">
        <v>56.10999999999956</v>
      </c>
      <c r="J18" s="448">
        <v>1785.4079620999946</v>
      </c>
      <c r="K18" s="285">
        <v>183.99</v>
      </c>
      <c r="L18" s="448">
        <v>1697.3299968530011</v>
      </c>
      <c r="M18" s="285">
        <f t="shared" si="0"/>
        <v>-1905.8800000000003</v>
      </c>
      <c r="N18" s="285">
        <f t="shared" si="1"/>
        <v>6549.499297552993</v>
      </c>
      <c r="O18" s="449"/>
      <c r="P18" s="449">
        <v>5445.71</v>
      </c>
      <c r="Q18" s="453">
        <f t="shared" si="2"/>
        <v>1103.789297552993</v>
      </c>
      <c r="R18" s="449"/>
    </row>
    <row r="19" spans="1:18" ht="24.75" customHeight="1">
      <c r="A19" s="215">
        <v>13</v>
      </c>
      <c r="B19" s="219" t="s">
        <v>204</v>
      </c>
      <c r="C19" s="285">
        <v>1828.38</v>
      </c>
      <c r="D19" s="448">
        <v>1458.66</v>
      </c>
      <c r="E19" s="285">
        <v>1926.57</v>
      </c>
      <c r="F19" s="448">
        <v>942.54</v>
      </c>
      <c r="G19" s="285">
        <v>2726.19</v>
      </c>
      <c r="H19" s="448">
        <v>1531.56</v>
      </c>
      <c r="I19" s="285">
        <v>2592.43</v>
      </c>
      <c r="J19" s="448">
        <v>3364.8</v>
      </c>
      <c r="K19" s="285">
        <v>2989.64</v>
      </c>
      <c r="L19" s="448">
        <v>3815.17</v>
      </c>
      <c r="M19" s="285">
        <f t="shared" si="0"/>
        <v>12063.21</v>
      </c>
      <c r="N19" s="285">
        <f t="shared" si="1"/>
        <v>11112.73</v>
      </c>
      <c r="O19" s="449"/>
      <c r="P19" s="449">
        <v>11112.73</v>
      </c>
      <c r="Q19" s="453">
        <f t="shared" si="2"/>
        <v>0</v>
      </c>
      <c r="R19" s="449"/>
    </row>
    <row r="20" spans="1:18" ht="24.75" customHeight="1">
      <c r="A20" s="215">
        <v>14</v>
      </c>
      <c r="B20" s="219" t="s">
        <v>205</v>
      </c>
      <c r="C20" s="285">
        <v>3013.04</v>
      </c>
      <c r="D20" s="448">
        <v>3574.59</v>
      </c>
      <c r="E20" s="285">
        <v>1748.75</v>
      </c>
      <c r="F20" s="448">
        <v>4768.39</v>
      </c>
      <c r="G20" s="285">
        <v>4146.9</v>
      </c>
      <c r="H20" s="448">
        <v>4939.25</v>
      </c>
      <c r="I20" s="285">
        <v>5255.96</v>
      </c>
      <c r="J20" s="448">
        <v>3401.24</v>
      </c>
      <c r="K20" s="285">
        <v>5279.15</v>
      </c>
      <c r="L20" s="448">
        <v>7336.890000000006</v>
      </c>
      <c r="M20" s="285">
        <f t="shared" si="0"/>
        <v>19443.799999999996</v>
      </c>
      <c r="N20" s="285">
        <f t="shared" si="1"/>
        <v>24020.360000000008</v>
      </c>
      <c r="O20" s="449"/>
      <c r="P20" s="449">
        <v>18057.02</v>
      </c>
      <c r="Q20" s="453">
        <f t="shared" si="2"/>
        <v>5963.340000000007</v>
      </c>
      <c r="R20" s="449"/>
    </row>
    <row r="21" spans="1:18" ht="24.75" customHeight="1">
      <c r="A21" s="215">
        <v>15</v>
      </c>
      <c r="B21" s="219" t="s">
        <v>206</v>
      </c>
      <c r="C21" s="285">
        <v>3955.86</v>
      </c>
      <c r="D21" s="448">
        <v>4367.27</v>
      </c>
      <c r="E21" s="285">
        <v>3942.2</v>
      </c>
      <c r="F21" s="448">
        <v>5386.8</v>
      </c>
      <c r="G21" s="285">
        <v>5638.06</v>
      </c>
      <c r="H21" s="448">
        <v>6411.14</v>
      </c>
      <c r="I21" s="285">
        <v>6451.14</v>
      </c>
      <c r="J21" s="448">
        <v>8416.02</v>
      </c>
      <c r="K21" s="285">
        <v>9502.36</v>
      </c>
      <c r="L21" s="448">
        <v>8350.76597999999</v>
      </c>
      <c r="M21" s="285">
        <f t="shared" si="0"/>
        <v>29489.62</v>
      </c>
      <c r="N21" s="285">
        <f t="shared" si="1"/>
        <v>32931.99597999999</v>
      </c>
      <c r="O21" s="449"/>
      <c r="P21" s="449">
        <v>32931.99</v>
      </c>
      <c r="Q21" s="453">
        <f t="shared" si="2"/>
        <v>0.005979999994451646</v>
      </c>
      <c r="R21" s="449"/>
    </row>
    <row r="22" spans="1:18" ht="24.75" customHeight="1">
      <c r="A22" s="215">
        <v>16</v>
      </c>
      <c r="B22" s="219" t="s">
        <v>207</v>
      </c>
      <c r="C22" s="285">
        <v>1148.93</v>
      </c>
      <c r="D22" s="448">
        <v>1626.41</v>
      </c>
      <c r="E22" s="285">
        <v>1920.46</v>
      </c>
      <c r="F22" s="448">
        <v>1812.5</v>
      </c>
      <c r="G22" s="285">
        <v>3499.47</v>
      </c>
      <c r="H22" s="448">
        <v>4783.93</v>
      </c>
      <c r="I22" s="285">
        <v>6872.95</v>
      </c>
      <c r="J22" s="448">
        <v>12769.61</v>
      </c>
      <c r="K22" s="285">
        <v>11843.88</v>
      </c>
      <c r="L22" s="448">
        <v>17531.83</v>
      </c>
      <c r="M22" s="285">
        <f t="shared" si="0"/>
        <v>25285.690000000002</v>
      </c>
      <c r="N22" s="285">
        <f t="shared" si="1"/>
        <v>38524.28</v>
      </c>
      <c r="O22" s="449"/>
      <c r="P22" s="449">
        <v>36325.91</v>
      </c>
      <c r="Q22" s="453">
        <f t="shared" si="2"/>
        <v>2198.3699999999953</v>
      </c>
      <c r="R22" s="449"/>
    </row>
    <row r="23" spans="1:18" ht="24.75" customHeight="1">
      <c r="A23" s="215">
        <v>17</v>
      </c>
      <c r="B23" s="220" t="s">
        <v>208</v>
      </c>
      <c r="C23" s="285">
        <v>2908</v>
      </c>
      <c r="D23" s="448">
        <v>557.0200000000054</v>
      </c>
      <c r="E23" s="285">
        <v>606.5800000000067</v>
      </c>
      <c r="F23" s="448">
        <v>293.5099999999993</v>
      </c>
      <c r="G23" s="285">
        <v>1586.51</v>
      </c>
      <c r="H23" s="448">
        <v>650.6853999999962</v>
      </c>
      <c r="I23" s="285">
        <v>2089.05</v>
      </c>
      <c r="J23" s="448">
        <v>3936.72</v>
      </c>
      <c r="K23" s="285">
        <v>3960.07</v>
      </c>
      <c r="L23" s="448">
        <v>4987.600999999998</v>
      </c>
      <c r="M23" s="285">
        <f t="shared" si="0"/>
        <v>11150.210000000006</v>
      </c>
      <c r="N23" s="285">
        <f t="shared" si="1"/>
        <v>10425.536399999997</v>
      </c>
      <c r="O23" s="449"/>
      <c r="P23" s="449">
        <v>12040.04</v>
      </c>
      <c r="Q23" s="453">
        <f t="shared" si="2"/>
        <v>-1614.5036000000036</v>
      </c>
      <c r="R23" s="449"/>
    </row>
    <row r="24" spans="1:18" s="418" customFormat="1" ht="24.75" customHeight="1">
      <c r="A24" s="419"/>
      <c r="B24" s="420" t="s">
        <v>35</v>
      </c>
      <c r="C24" s="377">
        <f>SUM(C7:C23)</f>
        <v>42722.920000000006</v>
      </c>
      <c r="D24" s="377">
        <f aca="true" t="shared" si="3" ref="D24:L24">SUM(D7:D23)</f>
        <v>47778.45181260002</v>
      </c>
      <c r="E24" s="377">
        <f t="shared" si="3"/>
        <v>43635.390000000014</v>
      </c>
      <c r="F24" s="377">
        <f t="shared" si="3"/>
        <v>52637.6619639</v>
      </c>
      <c r="G24" s="377">
        <f t="shared" si="3"/>
        <v>57098.950000000004</v>
      </c>
      <c r="H24" s="377">
        <f t="shared" si="3"/>
        <v>68273.94602310001</v>
      </c>
      <c r="I24" s="377">
        <f t="shared" si="3"/>
        <v>73920.13</v>
      </c>
      <c r="J24" s="377">
        <f t="shared" si="3"/>
        <v>102632.65108767967</v>
      </c>
      <c r="K24" s="377">
        <f t="shared" si="3"/>
        <v>104061.84000000001</v>
      </c>
      <c r="L24" s="377">
        <f t="shared" si="3"/>
        <v>131122.722576853</v>
      </c>
      <c r="M24" s="377">
        <f t="shared" si="0"/>
        <v>321439.23000000004</v>
      </c>
      <c r="N24" s="377">
        <f t="shared" si="1"/>
        <v>402445.4334641327</v>
      </c>
      <c r="O24" s="452"/>
      <c r="P24" s="452">
        <v>378875.97</v>
      </c>
      <c r="Q24" s="453">
        <f t="shared" si="2"/>
        <v>23569.463464132743</v>
      </c>
      <c r="R24" s="452"/>
    </row>
    <row r="25" spans="5:14" ht="21.75" customHeight="1">
      <c r="E25" s="644" t="s">
        <v>224</v>
      </c>
      <c r="F25" s="644"/>
      <c r="G25" s="644"/>
      <c r="H25" s="644"/>
      <c r="I25" s="241"/>
      <c r="J25" s="242"/>
      <c r="K25" s="242"/>
      <c r="L25" s="242"/>
      <c r="M25" s="242"/>
      <c r="N25" s="242"/>
    </row>
    <row r="26" spans="1:14" ht="21.75" customHeight="1">
      <c r="A26" s="658" t="s">
        <v>71</v>
      </c>
      <c r="B26" s="658"/>
      <c r="C26" s="658"/>
      <c r="D26" s="658"/>
      <c r="E26" s="658"/>
      <c r="F26" s="658"/>
      <c r="G26" s="658"/>
      <c r="H26" s="658"/>
      <c r="I26" s="241"/>
      <c r="J26" s="242"/>
      <c r="K26" s="242"/>
      <c r="L26" s="242"/>
      <c r="M26" s="242"/>
      <c r="N26" s="242"/>
    </row>
    <row r="27" spans="1:9" ht="18" customHeight="1">
      <c r="A27" s="657" t="s">
        <v>114</v>
      </c>
      <c r="B27" s="657"/>
      <c r="C27" s="657"/>
      <c r="D27" s="657"/>
      <c r="E27" s="657"/>
      <c r="F27" s="657"/>
      <c r="G27" s="657"/>
      <c r="H27" s="657"/>
      <c r="I27" s="409"/>
    </row>
    <row r="28" spans="1:8" ht="15.75">
      <c r="A28" s="174"/>
      <c r="B28" s="174"/>
      <c r="C28" s="174"/>
      <c r="D28" s="174"/>
      <c r="E28" s="174"/>
      <c r="F28" s="174"/>
      <c r="G28" s="174"/>
      <c r="H28" s="174"/>
    </row>
    <row r="29" spans="1:8" s="410" customFormat="1" ht="21" customHeight="1">
      <c r="A29" s="669" t="s">
        <v>256</v>
      </c>
      <c r="B29" s="669" t="s">
        <v>0</v>
      </c>
      <c r="C29" s="665" t="s">
        <v>242</v>
      </c>
      <c r="D29" s="665"/>
      <c r="E29" s="665"/>
      <c r="F29" s="665"/>
      <c r="G29" s="665" t="s">
        <v>282</v>
      </c>
      <c r="H29" s="667" t="s">
        <v>46</v>
      </c>
    </row>
    <row r="30" spans="1:8" s="410" customFormat="1" ht="38.25" customHeight="1">
      <c r="A30" s="670"/>
      <c r="B30" s="670"/>
      <c r="C30" s="352" t="s">
        <v>47</v>
      </c>
      <c r="D30" s="352" t="s">
        <v>163</v>
      </c>
      <c r="E30" s="352" t="s">
        <v>48</v>
      </c>
      <c r="F30" s="352" t="s">
        <v>49</v>
      </c>
      <c r="G30" s="666"/>
      <c r="H30" s="668"/>
    </row>
    <row r="31" spans="1:8" s="415" customFormat="1" ht="11.25" customHeight="1">
      <c r="A31" s="411">
        <v>0</v>
      </c>
      <c r="B31" s="412" t="s">
        <v>22</v>
      </c>
      <c r="C31" s="412" t="s">
        <v>23</v>
      </c>
      <c r="D31" s="412" t="s">
        <v>29</v>
      </c>
      <c r="E31" s="412" t="s">
        <v>30</v>
      </c>
      <c r="F31" s="412" t="s">
        <v>26</v>
      </c>
      <c r="G31" s="413" t="s">
        <v>38</v>
      </c>
      <c r="H31" s="414" t="s">
        <v>39</v>
      </c>
    </row>
    <row r="32" spans="1:9" ht="30" customHeight="1">
      <c r="A32" s="7">
        <v>1</v>
      </c>
      <c r="B32" s="212" t="s">
        <v>193</v>
      </c>
      <c r="C32" s="402">
        <f aca="true" t="shared" si="4" ref="C32:C49">M7</f>
        <v>39202.630000000005</v>
      </c>
      <c r="D32" s="402">
        <f aca="true" t="shared" si="5" ref="D32:D49">N7</f>
        <v>46569.07</v>
      </c>
      <c r="E32" s="403">
        <f aca="true" t="shared" si="6" ref="E32:E48">D32-C32</f>
        <v>7366.439999999995</v>
      </c>
      <c r="F32" s="403">
        <f aca="true" t="shared" si="7" ref="F32:F42">E32/C32*100</f>
        <v>18.79067807440469</v>
      </c>
      <c r="G32" s="403">
        <f>F32-$F$44</f>
        <v>26.669841249048915</v>
      </c>
      <c r="H32" s="138">
        <f aca="true" t="shared" si="8" ref="H32:H49">G32/$G$49*100</f>
        <v>2.8800847364506765</v>
      </c>
      <c r="I32" s="416">
        <v>3.170233312338528</v>
      </c>
    </row>
    <row r="33" spans="1:9" ht="30" customHeight="1">
      <c r="A33" s="7">
        <v>2</v>
      </c>
      <c r="B33" s="212" t="s">
        <v>194</v>
      </c>
      <c r="C33" s="402">
        <f t="shared" si="4"/>
        <v>7725.15</v>
      </c>
      <c r="D33" s="402">
        <f t="shared" si="5"/>
        <v>9836.97</v>
      </c>
      <c r="E33" s="403">
        <f t="shared" si="6"/>
        <v>2111.8199999999997</v>
      </c>
      <c r="F33" s="403">
        <f t="shared" si="7"/>
        <v>27.336944913690992</v>
      </c>
      <c r="G33" s="403">
        <f aca="true" t="shared" si="9" ref="G33:G48">F33-$F$44</f>
        <v>35.21610808833522</v>
      </c>
      <c r="H33" s="138">
        <f t="shared" si="8"/>
        <v>3.8029988418483165</v>
      </c>
      <c r="I33" s="416">
        <v>4.848164285483465</v>
      </c>
    </row>
    <row r="34" spans="1:9" ht="30" customHeight="1">
      <c r="A34" s="7">
        <v>3</v>
      </c>
      <c r="B34" s="212" t="s">
        <v>195</v>
      </c>
      <c r="C34" s="402">
        <f t="shared" si="4"/>
        <v>11367.349999999999</v>
      </c>
      <c r="D34" s="402">
        <f t="shared" si="5"/>
        <v>18408.55862093983</v>
      </c>
      <c r="E34" s="403">
        <f t="shared" si="6"/>
        <v>7041.208620939833</v>
      </c>
      <c r="F34" s="403">
        <f t="shared" si="7"/>
        <v>61.94239309020866</v>
      </c>
      <c r="G34" s="403">
        <f t="shared" si="9"/>
        <v>69.82155626485289</v>
      </c>
      <c r="H34" s="138">
        <f t="shared" si="8"/>
        <v>7.540052323363796</v>
      </c>
      <c r="I34" s="416">
        <v>5.608435012629822</v>
      </c>
    </row>
    <row r="35" spans="1:9" ht="30" customHeight="1">
      <c r="A35" s="7">
        <v>4</v>
      </c>
      <c r="B35" s="212" t="s">
        <v>196</v>
      </c>
      <c r="C35" s="402">
        <f t="shared" si="4"/>
        <v>3402.7799999999997</v>
      </c>
      <c r="D35" s="402">
        <f t="shared" si="5"/>
        <v>3476.2670000000007</v>
      </c>
      <c r="E35" s="403">
        <f t="shared" si="6"/>
        <v>73.48700000000099</v>
      </c>
      <c r="F35" s="403">
        <f t="shared" si="7"/>
        <v>2.1596165488218753</v>
      </c>
      <c r="G35" s="403">
        <f t="shared" si="9"/>
        <v>10.038779723466101</v>
      </c>
      <c r="H35" s="138">
        <f t="shared" si="8"/>
        <v>1.084091051917166</v>
      </c>
      <c r="I35" s="416">
        <v>0.18429929082234717</v>
      </c>
    </row>
    <row r="36" spans="1:9" ht="30" customHeight="1">
      <c r="A36" s="7">
        <v>5</v>
      </c>
      <c r="B36" s="212" t="s">
        <v>197</v>
      </c>
      <c r="C36" s="402">
        <f t="shared" si="4"/>
        <v>26875.659999999996</v>
      </c>
      <c r="D36" s="402">
        <f t="shared" si="5"/>
        <v>36154.48100000001</v>
      </c>
      <c r="E36" s="403">
        <f t="shared" si="6"/>
        <v>9278.82100000001</v>
      </c>
      <c r="F36" s="403">
        <f t="shared" si="7"/>
        <v>34.524997711684144</v>
      </c>
      <c r="G36" s="403">
        <f t="shared" si="9"/>
        <v>42.40416088632837</v>
      </c>
      <c r="H36" s="138">
        <f t="shared" si="8"/>
        <v>4.5792389759750955</v>
      </c>
      <c r="I36" s="416">
        <v>8.960985983695043</v>
      </c>
    </row>
    <row r="37" spans="1:9" ht="30" customHeight="1">
      <c r="A37" s="7">
        <v>6</v>
      </c>
      <c r="B37" s="212" t="s">
        <v>198</v>
      </c>
      <c r="C37" s="402">
        <f t="shared" si="4"/>
        <v>9674.45</v>
      </c>
      <c r="D37" s="402">
        <f t="shared" si="5"/>
        <v>11783.720000000001</v>
      </c>
      <c r="E37" s="403">
        <f t="shared" si="6"/>
        <v>2109.2700000000004</v>
      </c>
      <c r="F37" s="403">
        <f t="shared" si="7"/>
        <v>21.802479727529732</v>
      </c>
      <c r="G37" s="403">
        <f t="shared" si="9"/>
        <v>29.68164290217396</v>
      </c>
      <c r="H37" s="138">
        <f t="shared" si="8"/>
        <v>3.205330165899631</v>
      </c>
      <c r="I37" s="416">
        <v>3.5668474797045975</v>
      </c>
    </row>
    <row r="38" spans="1:9" ht="30" customHeight="1">
      <c r="A38" s="7">
        <v>7</v>
      </c>
      <c r="B38" s="212" t="s">
        <v>144</v>
      </c>
      <c r="C38" s="402">
        <f t="shared" si="4"/>
        <v>14746.489999999998</v>
      </c>
      <c r="D38" s="402">
        <f t="shared" si="5"/>
        <v>18408.55862093983</v>
      </c>
      <c r="E38" s="403">
        <f t="shared" si="6"/>
        <v>3662.0686209398336</v>
      </c>
      <c r="F38" s="403">
        <f t="shared" si="7"/>
        <v>24.833493400394495</v>
      </c>
      <c r="G38" s="403">
        <f t="shared" si="9"/>
        <v>32.71265657503872</v>
      </c>
      <c r="H38" s="138">
        <f t="shared" si="8"/>
        <v>3.5326503075409845</v>
      </c>
      <c r="I38" s="416">
        <v>0.1837911630951012</v>
      </c>
    </row>
    <row r="39" spans="1:9" ht="30" customHeight="1">
      <c r="A39" s="7">
        <v>8</v>
      </c>
      <c r="B39" s="212" t="s">
        <v>199</v>
      </c>
      <c r="C39" s="402">
        <f t="shared" si="4"/>
        <v>42291.009999999995</v>
      </c>
      <c r="D39" s="402">
        <f t="shared" si="5"/>
        <v>52649.83504469998</v>
      </c>
      <c r="E39" s="403">
        <f t="shared" si="6"/>
        <v>10358.825044699988</v>
      </c>
      <c r="F39" s="403">
        <f t="shared" si="7"/>
        <v>24.494153827728375</v>
      </c>
      <c r="G39" s="403">
        <f t="shared" si="9"/>
        <v>32.3733170023726</v>
      </c>
      <c r="H39" s="138">
        <f t="shared" si="8"/>
        <v>3.4960049179196937</v>
      </c>
      <c r="I39" s="416">
        <v>2.6380619274698383</v>
      </c>
    </row>
    <row r="40" spans="1:9" ht="30" customHeight="1">
      <c r="A40" s="7">
        <v>9</v>
      </c>
      <c r="B40" s="212" t="s">
        <v>200</v>
      </c>
      <c r="C40" s="402">
        <f t="shared" si="4"/>
        <v>12423.550000000001</v>
      </c>
      <c r="D40" s="402">
        <f t="shared" si="5"/>
        <v>14040.714</v>
      </c>
      <c r="E40" s="403">
        <f t="shared" si="6"/>
        <v>1617.1639999999989</v>
      </c>
      <c r="F40" s="403">
        <f t="shared" si="7"/>
        <v>13.016923504151379</v>
      </c>
      <c r="G40" s="403">
        <f t="shared" si="9"/>
        <v>20.896086678795605</v>
      </c>
      <c r="H40" s="138">
        <f t="shared" si="8"/>
        <v>2.256575122932002</v>
      </c>
      <c r="I40" s="416">
        <v>0.5713371376539824</v>
      </c>
    </row>
    <row r="41" spans="1:9" ht="30" customHeight="1">
      <c r="A41" s="7">
        <v>10</v>
      </c>
      <c r="B41" s="212" t="s">
        <v>201</v>
      </c>
      <c r="C41" s="402">
        <f t="shared" si="4"/>
        <v>17728.13</v>
      </c>
      <c r="D41" s="402">
        <f t="shared" si="5"/>
        <v>24619.8</v>
      </c>
      <c r="E41" s="403">
        <f t="shared" si="6"/>
        <v>6891.669999999998</v>
      </c>
      <c r="F41" s="403">
        <f t="shared" si="7"/>
        <v>38.874207262694924</v>
      </c>
      <c r="G41" s="403">
        <f t="shared" si="9"/>
        <v>46.75337043733915</v>
      </c>
      <c r="H41" s="138">
        <f t="shared" si="8"/>
        <v>5.04891151457479</v>
      </c>
      <c r="I41" s="416">
        <v>3.6149009052579486</v>
      </c>
    </row>
    <row r="42" spans="1:9" ht="30" customHeight="1">
      <c r="A42" s="7">
        <v>11</v>
      </c>
      <c r="B42" s="212" t="s">
        <v>202</v>
      </c>
      <c r="C42" s="402">
        <f t="shared" si="4"/>
        <v>40475.380000000005</v>
      </c>
      <c r="D42" s="402">
        <f t="shared" si="5"/>
        <v>42933.057499999995</v>
      </c>
      <c r="E42" s="403">
        <f t="shared" si="6"/>
        <v>2457.6774999999907</v>
      </c>
      <c r="F42" s="403">
        <f t="shared" si="7"/>
        <v>6.072030701132369</v>
      </c>
      <c r="G42" s="403">
        <f t="shared" si="9"/>
        <v>13.951193875776594</v>
      </c>
      <c r="H42" s="138">
        <f t="shared" si="8"/>
        <v>1.5065939148895842</v>
      </c>
      <c r="I42" s="416">
        <v>2.0443871985753908</v>
      </c>
    </row>
    <row r="43" spans="1:9" ht="30" customHeight="1">
      <c r="A43" s="7">
        <v>12</v>
      </c>
      <c r="B43" s="212" t="s">
        <v>203</v>
      </c>
      <c r="C43" s="402">
        <f t="shared" si="4"/>
        <v>-1905.8800000000003</v>
      </c>
      <c r="D43" s="402">
        <f t="shared" si="5"/>
        <v>6549.499297552993</v>
      </c>
      <c r="E43" s="403">
        <f t="shared" si="6"/>
        <v>8455.379297552994</v>
      </c>
      <c r="F43" s="275">
        <f>E43/-C43*100</f>
        <v>443.64699233703027</v>
      </c>
      <c r="G43" s="403">
        <f t="shared" si="9"/>
        <v>451.5261555116745</v>
      </c>
      <c r="H43" s="138">
        <f t="shared" si="8"/>
        <v>48.76045479437578</v>
      </c>
      <c r="I43" s="416">
        <v>52.02384412674963</v>
      </c>
    </row>
    <row r="44" spans="1:10" ht="30" customHeight="1">
      <c r="A44" s="7">
        <v>13</v>
      </c>
      <c r="B44" s="212" t="s">
        <v>204</v>
      </c>
      <c r="C44" s="402">
        <f t="shared" si="4"/>
        <v>12063.21</v>
      </c>
      <c r="D44" s="402">
        <f t="shared" si="5"/>
        <v>11112.73</v>
      </c>
      <c r="E44" s="403">
        <f t="shared" si="6"/>
        <v>-950.4799999999996</v>
      </c>
      <c r="F44" s="404">
        <f>E44/C44*100</f>
        <v>-7.879163174644225</v>
      </c>
      <c r="G44" s="403">
        <v>1.3799707827519772</v>
      </c>
      <c r="H44" s="138">
        <v>0.15230718222453843</v>
      </c>
      <c r="I44" s="416">
        <v>0.20793876917174262</v>
      </c>
      <c r="J44" s="417"/>
    </row>
    <row r="45" spans="1:9" ht="30" customHeight="1">
      <c r="A45" s="7">
        <v>14</v>
      </c>
      <c r="B45" s="212" t="s">
        <v>205</v>
      </c>
      <c r="C45" s="402">
        <f t="shared" si="4"/>
        <v>19443.799999999996</v>
      </c>
      <c r="D45" s="402">
        <f t="shared" si="5"/>
        <v>24020.360000000008</v>
      </c>
      <c r="E45" s="403">
        <f t="shared" si="6"/>
        <v>4576.560000000012</v>
      </c>
      <c r="F45" s="403">
        <f>E45/C45*100</f>
        <v>23.537374381551</v>
      </c>
      <c r="G45" s="403">
        <f t="shared" si="9"/>
        <v>31.416537556195227</v>
      </c>
      <c r="H45" s="138">
        <f t="shared" si="8"/>
        <v>3.3926819977210787</v>
      </c>
      <c r="I45" s="416">
        <v>0.30626446324722245</v>
      </c>
    </row>
    <row r="46" spans="1:9" ht="30" customHeight="1">
      <c r="A46" s="7">
        <v>15</v>
      </c>
      <c r="B46" s="212" t="s">
        <v>206</v>
      </c>
      <c r="C46" s="402">
        <f t="shared" si="4"/>
        <v>29489.62</v>
      </c>
      <c r="D46" s="402">
        <f t="shared" si="5"/>
        <v>32931.99597999999</v>
      </c>
      <c r="E46" s="403">
        <f t="shared" si="6"/>
        <v>3442.3759799999934</v>
      </c>
      <c r="F46" s="403">
        <f>E46/C46*100</f>
        <v>11.673178494670307</v>
      </c>
      <c r="G46" s="403">
        <f t="shared" si="9"/>
        <v>19.552341669314533</v>
      </c>
      <c r="H46" s="138">
        <f t="shared" si="8"/>
        <v>2.1114636670613667</v>
      </c>
      <c r="I46" s="416">
        <v>2.781852316522173</v>
      </c>
    </row>
    <row r="47" spans="1:9" ht="30" customHeight="1">
      <c r="A47" s="7">
        <v>16</v>
      </c>
      <c r="B47" s="212" t="s">
        <v>207</v>
      </c>
      <c r="C47" s="402">
        <f t="shared" si="4"/>
        <v>25285.690000000002</v>
      </c>
      <c r="D47" s="402">
        <f t="shared" si="5"/>
        <v>38524.28</v>
      </c>
      <c r="E47" s="403">
        <f t="shared" si="6"/>
        <v>13238.589999999997</v>
      </c>
      <c r="F47" s="403">
        <f>E47/C47*100</f>
        <v>52.356055935194945</v>
      </c>
      <c r="G47" s="403">
        <f t="shared" si="9"/>
        <v>60.23521910983917</v>
      </c>
      <c r="H47" s="138">
        <f t="shared" si="8"/>
        <v>6.504820689969295</v>
      </c>
      <c r="I47" s="416">
        <v>6.992929287094754</v>
      </c>
    </row>
    <row r="48" spans="1:9" ht="30" customHeight="1">
      <c r="A48" s="7">
        <v>17</v>
      </c>
      <c r="B48" s="213" t="s">
        <v>208</v>
      </c>
      <c r="C48" s="402">
        <f t="shared" si="4"/>
        <v>11150.210000000006</v>
      </c>
      <c r="D48" s="402">
        <f t="shared" si="5"/>
        <v>10425.536399999997</v>
      </c>
      <c r="E48" s="403">
        <f t="shared" si="6"/>
        <v>-724.6736000000092</v>
      </c>
      <c r="F48" s="447">
        <f>E48/C48*100</f>
        <v>-6.499192391892248</v>
      </c>
      <c r="G48" s="403">
        <f t="shared" si="9"/>
        <v>1.3799707827519772</v>
      </c>
      <c r="H48" s="138">
        <f t="shared" si="8"/>
        <v>0.14902348878036895</v>
      </c>
      <c r="I48" s="416">
        <v>2.295727340488409</v>
      </c>
    </row>
    <row r="49" spans="1:9" s="418" customFormat="1" ht="25.5" customHeight="1">
      <c r="A49" s="405"/>
      <c r="B49" s="239" t="s">
        <v>35</v>
      </c>
      <c r="C49" s="406">
        <f t="shared" si="4"/>
        <v>321439.23000000004</v>
      </c>
      <c r="D49" s="406">
        <f t="shared" si="5"/>
        <v>402445.4334641327</v>
      </c>
      <c r="E49" s="406">
        <f>SUM(E32:E48)</f>
        <v>81006.20346413263</v>
      </c>
      <c r="F49" s="407">
        <f>SUM(F32:F48)</f>
        <v>790.6831643443517</v>
      </c>
      <c r="G49" s="406">
        <f>SUM(G32:G48)</f>
        <v>926.0089090960555</v>
      </c>
      <c r="H49" s="138">
        <f t="shared" si="8"/>
        <v>100</v>
      </c>
      <c r="I49" s="418">
        <v>100</v>
      </c>
    </row>
    <row r="50" spans="1:8" ht="41.25" customHeight="1">
      <c r="A50" s="664" t="s">
        <v>164</v>
      </c>
      <c r="B50" s="664"/>
      <c r="C50" s="664"/>
      <c r="D50" s="664"/>
      <c r="E50" s="664"/>
      <c r="F50" s="664"/>
      <c r="G50" s="664"/>
      <c r="H50" s="664"/>
    </row>
    <row r="52" ht="12.75">
      <c r="F52" s="125">
        <f>+MIN(F32:F48)</f>
        <v>-7.879163174644225</v>
      </c>
    </row>
  </sheetData>
  <mergeCells count="20">
    <mergeCell ref="A50:H50"/>
    <mergeCell ref="C29:F29"/>
    <mergeCell ref="G29:G30"/>
    <mergeCell ref="H29:H30"/>
    <mergeCell ref="B29:B30"/>
    <mergeCell ref="A29:A30"/>
    <mergeCell ref="G5:H5"/>
    <mergeCell ref="B5:B6"/>
    <mergeCell ref="A5:A6"/>
    <mergeCell ref="M5:N5"/>
    <mergeCell ref="A3:N3"/>
    <mergeCell ref="K1:N1"/>
    <mergeCell ref="E25:H25"/>
    <mergeCell ref="A27:H27"/>
    <mergeCell ref="A26:H26"/>
    <mergeCell ref="I5:J5"/>
    <mergeCell ref="A2:N2"/>
    <mergeCell ref="K5:L5"/>
    <mergeCell ref="C5:D5"/>
    <mergeCell ref="E5:F5"/>
  </mergeCells>
  <printOptions horizontalCentered="1"/>
  <pageMargins left="0.748031496062992" right="0.748031496062992" top="0.984251968503937" bottom="0.984251968503937" header="0.511811023622047" footer="0.511811023622047"/>
  <pageSetup horizontalDpi="180" verticalDpi="180" orientation="landscape" paperSize="9" scale="70" r:id="rId1"/>
  <rowBreaks count="1" manualBreakCount="1">
    <brk id="24" max="13" man="1"/>
  </rowBreaks>
</worksheet>
</file>

<file path=xl/worksheets/sheet5.xml><?xml version="1.0" encoding="utf-8"?>
<worksheet xmlns="http://schemas.openxmlformats.org/spreadsheetml/2006/main" xmlns:r="http://schemas.openxmlformats.org/officeDocument/2006/relationships">
  <sheetPr codeName="Sheet7">
    <tabColor indexed="17"/>
  </sheetPr>
  <dimension ref="A2:Z28"/>
  <sheetViews>
    <sheetView view="pageBreakPreview" zoomScale="75" zoomScaleNormal="75" zoomScaleSheetLayoutView="75" workbookViewId="0" topLeftCell="A2">
      <selection activeCell="E10" sqref="E10"/>
    </sheetView>
  </sheetViews>
  <sheetFormatPr defaultColWidth="9.00390625" defaultRowHeight="12.75"/>
  <cols>
    <col min="1" max="1" width="5.875" style="3" customWidth="1"/>
    <col min="2" max="2" width="22.00390625" style="3" customWidth="1"/>
    <col min="3" max="4" width="15.125" style="3" customWidth="1"/>
    <col min="5" max="5" width="15.25390625" style="3" customWidth="1"/>
    <col min="6" max="7" width="15.125" style="3" customWidth="1"/>
    <col min="8" max="8" width="19.50390625" style="3" customWidth="1"/>
    <col min="9" max="9" width="1.00390625" style="3" hidden="1" customWidth="1"/>
    <col min="10" max="10" width="12.625" style="3" customWidth="1"/>
    <col min="11" max="12" width="12.375" style="3" customWidth="1"/>
    <col min="13" max="13" width="13.125" style="3" customWidth="1"/>
    <col min="14" max="14" width="16.125" style="3" customWidth="1"/>
    <col min="15" max="15" width="14.25390625" style="3" customWidth="1"/>
    <col min="16" max="16384" width="9.00390625" style="3" customWidth="1"/>
  </cols>
  <sheetData>
    <row r="2" spans="6:10" ht="26.25" customHeight="1">
      <c r="F2" s="644" t="s">
        <v>224</v>
      </c>
      <c r="G2" s="644"/>
      <c r="H2" s="644"/>
      <c r="I2" s="644"/>
      <c r="J2"/>
    </row>
    <row r="3" spans="1:9" ht="24.75" customHeight="1">
      <c r="A3" s="671" t="s">
        <v>72</v>
      </c>
      <c r="B3" s="671"/>
      <c r="C3" s="671"/>
      <c r="D3" s="671"/>
      <c r="E3" s="671"/>
      <c r="F3" s="671"/>
      <c r="G3" s="671"/>
      <c r="H3" s="671"/>
      <c r="I3" s="69"/>
    </row>
    <row r="4" spans="1:9" ht="15" customHeight="1">
      <c r="A4" s="175"/>
      <c r="B4" s="175"/>
      <c r="C4" s="175"/>
      <c r="D4" s="175"/>
      <c r="E4" s="175"/>
      <c r="F4" s="175"/>
      <c r="G4" s="175"/>
      <c r="H4" s="175"/>
      <c r="I4" s="69"/>
    </row>
    <row r="5" spans="1:9" ht="27.75" customHeight="1">
      <c r="A5" s="625" t="s">
        <v>115</v>
      </c>
      <c r="B5" s="625"/>
      <c r="C5" s="625"/>
      <c r="D5" s="625"/>
      <c r="E5" s="625"/>
      <c r="F5" s="625"/>
      <c r="G5" s="625"/>
      <c r="H5" s="625"/>
      <c r="I5" s="69"/>
    </row>
    <row r="6" spans="1:9" s="426" customFormat="1" ht="50.25" customHeight="1">
      <c r="A6" s="421" t="s">
        <v>239</v>
      </c>
      <c r="B6" s="422" t="s">
        <v>0</v>
      </c>
      <c r="C6" s="423" t="s">
        <v>50</v>
      </c>
      <c r="D6" s="423" t="s">
        <v>148</v>
      </c>
      <c r="E6" s="422" t="s">
        <v>241</v>
      </c>
      <c r="F6" s="423" t="s">
        <v>165</v>
      </c>
      <c r="G6" s="422" t="s">
        <v>240</v>
      </c>
      <c r="H6" s="424" t="s">
        <v>257</v>
      </c>
      <c r="I6" s="425"/>
    </row>
    <row r="7" spans="1:26" s="348" customFormat="1" ht="51.75" customHeight="1" hidden="1">
      <c r="A7" s="328" t="s">
        <v>239</v>
      </c>
      <c r="B7" s="329"/>
      <c r="C7" s="180"/>
      <c r="D7" s="180"/>
      <c r="E7" s="178"/>
      <c r="F7" s="330"/>
      <c r="G7" s="330"/>
      <c r="H7" s="331"/>
      <c r="I7" s="40"/>
      <c r="J7" s="114"/>
      <c r="K7" s="114"/>
      <c r="L7" s="114"/>
      <c r="M7" s="114"/>
      <c r="N7" s="114"/>
      <c r="O7" s="114"/>
      <c r="P7" s="114"/>
      <c r="Q7" s="114"/>
      <c r="R7" s="114"/>
      <c r="S7" s="114"/>
      <c r="T7" s="114"/>
      <c r="U7" s="114"/>
      <c r="V7" s="114"/>
      <c r="W7" s="114"/>
      <c r="X7" s="114"/>
      <c r="Y7" s="114"/>
      <c r="Z7" s="114"/>
    </row>
    <row r="8" spans="1:9" s="347" customFormat="1" ht="21.75" customHeight="1">
      <c r="A8" s="343">
        <v>0</v>
      </c>
      <c r="B8" s="345">
        <v>1</v>
      </c>
      <c r="C8" s="345">
        <v>2</v>
      </c>
      <c r="D8" s="345">
        <v>3</v>
      </c>
      <c r="E8" s="345">
        <v>4</v>
      </c>
      <c r="F8" s="345">
        <v>5</v>
      </c>
      <c r="G8" s="345">
        <v>6</v>
      </c>
      <c r="H8" s="344">
        <v>7</v>
      </c>
      <c r="I8" s="346"/>
    </row>
    <row r="9" spans="1:10" ht="34.5" customHeight="1">
      <c r="A9" s="2">
        <v>1</v>
      </c>
      <c r="B9" s="10" t="s">
        <v>2</v>
      </c>
      <c r="C9" s="349">
        <v>32.72</v>
      </c>
      <c r="D9" s="349">
        <v>50.43</v>
      </c>
      <c r="E9" s="349">
        <f>D9/$D$26*100</f>
        <v>5.313678797968516</v>
      </c>
      <c r="F9" s="349">
        <f aca="true" t="shared" si="0" ref="F9:F25">(D9-C9)/C9*100</f>
        <v>54.12591687041566</v>
      </c>
      <c r="G9" s="349">
        <f>F9/$F$26*100</f>
        <v>7.159998304173641</v>
      </c>
      <c r="H9" s="350">
        <f>AVERAGE(E9,G9)</f>
        <v>6.236838551071078</v>
      </c>
      <c r="I9" s="13"/>
      <c r="J9" s="125"/>
    </row>
    <row r="10" spans="1:10" ht="34.5" customHeight="1">
      <c r="A10" s="2">
        <v>2</v>
      </c>
      <c r="B10" s="10" t="s">
        <v>3</v>
      </c>
      <c r="C10" s="349">
        <v>22.89</v>
      </c>
      <c r="D10" s="349">
        <v>33.12</v>
      </c>
      <c r="E10" s="349">
        <f aca="true" t="shared" si="1" ref="E10:E25">D10/$D$26*100</f>
        <v>3.4897688238889</v>
      </c>
      <c r="F10" s="349">
        <f t="shared" si="0"/>
        <v>44.69200524246394</v>
      </c>
      <c r="G10" s="349">
        <f aca="true" t="shared" si="2" ref="G10:G25">F10/$F$26*100</f>
        <v>5.912041776812195</v>
      </c>
      <c r="H10" s="350">
        <f aca="true" t="shared" si="3" ref="H10:H26">AVERAGE(E10,G10)</f>
        <v>4.700905300350548</v>
      </c>
      <c r="I10" s="13"/>
      <c r="J10" s="125"/>
    </row>
    <row r="11" spans="1:10" ht="34.5" customHeight="1">
      <c r="A11" s="2">
        <v>3</v>
      </c>
      <c r="B11" s="10" t="s">
        <v>146</v>
      </c>
      <c r="C11" s="349">
        <v>28.85</v>
      </c>
      <c r="D11" s="351">
        <v>51.85</v>
      </c>
      <c r="E11" s="349">
        <f t="shared" si="1"/>
        <v>5.463300528944429</v>
      </c>
      <c r="F11" s="349">
        <f t="shared" si="0"/>
        <v>79.72270363951472</v>
      </c>
      <c r="G11" s="349">
        <f t="shared" si="2"/>
        <v>10.54604625413858</v>
      </c>
      <c r="H11" s="350">
        <f t="shared" si="3"/>
        <v>8.004673391541505</v>
      </c>
      <c r="I11" s="13"/>
      <c r="J11" s="125"/>
    </row>
    <row r="12" spans="1:10" ht="34.5" customHeight="1">
      <c r="A12" s="2">
        <v>4</v>
      </c>
      <c r="B12" s="10" t="s">
        <v>5</v>
      </c>
      <c r="C12" s="349">
        <v>67.09</v>
      </c>
      <c r="D12" s="349">
        <v>75.37</v>
      </c>
      <c r="E12" s="349">
        <f t="shared" si="1"/>
        <v>7.941542157503213</v>
      </c>
      <c r="F12" s="349">
        <f t="shared" si="0"/>
        <v>12.3416306454017</v>
      </c>
      <c r="G12" s="349">
        <f t="shared" si="2"/>
        <v>1.6326015262406217</v>
      </c>
      <c r="H12" s="350">
        <f t="shared" si="3"/>
        <v>4.787071841871917</v>
      </c>
      <c r="I12" s="13"/>
      <c r="J12" s="125"/>
    </row>
    <row r="13" spans="1:10" ht="34.5" customHeight="1">
      <c r="A13" s="2">
        <v>5</v>
      </c>
      <c r="B13" s="10" t="s">
        <v>6</v>
      </c>
      <c r="C13" s="349">
        <v>48.64</v>
      </c>
      <c r="D13" s="349">
        <v>57.8</v>
      </c>
      <c r="E13" s="349">
        <f t="shared" si="1"/>
        <v>6.09023665521674</v>
      </c>
      <c r="F13" s="349">
        <f t="shared" si="0"/>
        <v>18.832236842105257</v>
      </c>
      <c r="G13" s="349">
        <f t="shared" si="2"/>
        <v>2.491205537932803</v>
      </c>
      <c r="H13" s="350">
        <f t="shared" si="3"/>
        <v>4.290721096574772</v>
      </c>
      <c r="I13" s="13"/>
      <c r="J13" s="125"/>
    </row>
    <row r="14" spans="1:10" ht="34.5" customHeight="1">
      <c r="A14" s="2">
        <v>6</v>
      </c>
      <c r="B14" s="10" t="s">
        <v>7</v>
      </c>
      <c r="C14" s="349">
        <v>40.47</v>
      </c>
      <c r="D14" s="349">
        <v>55.73</v>
      </c>
      <c r="E14" s="349">
        <f t="shared" si="1"/>
        <v>5.872126103723684</v>
      </c>
      <c r="F14" s="349">
        <f t="shared" si="0"/>
        <v>37.70694341487521</v>
      </c>
      <c r="G14" s="349">
        <f t="shared" si="2"/>
        <v>4.988029146045663</v>
      </c>
      <c r="H14" s="350">
        <f t="shared" si="3"/>
        <v>5.430077624884673</v>
      </c>
      <c r="I14" s="13"/>
      <c r="J14" s="125"/>
    </row>
    <row r="15" spans="1:10" ht="34.5" customHeight="1">
      <c r="A15" s="2">
        <v>7</v>
      </c>
      <c r="B15" s="10" t="s">
        <v>143</v>
      </c>
      <c r="C15" s="349">
        <v>22.89</v>
      </c>
      <c r="D15" s="351">
        <v>38.87</v>
      </c>
      <c r="E15" s="349">
        <f t="shared" si="1"/>
        <v>4.095631466925168</v>
      </c>
      <c r="F15" s="349">
        <f t="shared" si="0"/>
        <v>69.81214504150283</v>
      </c>
      <c r="G15" s="349">
        <f t="shared" si="2"/>
        <v>9.235036910406539</v>
      </c>
      <c r="H15" s="350">
        <f t="shared" si="3"/>
        <v>6.665334188665853</v>
      </c>
      <c r="I15" s="13"/>
      <c r="J15" s="125"/>
    </row>
    <row r="16" spans="1:10" ht="34.5" customHeight="1">
      <c r="A16" s="2">
        <v>8</v>
      </c>
      <c r="B16" s="10" t="s">
        <v>8</v>
      </c>
      <c r="C16" s="349">
        <v>44.34</v>
      </c>
      <c r="D16" s="349">
        <v>56.87</v>
      </c>
      <c r="E16" s="349">
        <f t="shared" si="1"/>
        <v>5.992244958169135</v>
      </c>
      <c r="F16" s="349">
        <f t="shared" si="0"/>
        <v>28.258908434821816</v>
      </c>
      <c r="G16" s="349">
        <f t="shared" si="2"/>
        <v>3.738204323735248</v>
      </c>
      <c r="H16" s="350">
        <f t="shared" si="3"/>
        <v>4.865224640952191</v>
      </c>
      <c r="I16" s="13"/>
      <c r="J16" s="125"/>
    </row>
    <row r="17" spans="1:10" ht="34.5" customHeight="1">
      <c r="A17" s="2">
        <v>9</v>
      </c>
      <c r="B17" s="10" t="s">
        <v>9</v>
      </c>
      <c r="C17" s="349">
        <v>86.17</v>
      </c>
      <c r="D17" s="349">
        <v>87.72</v>
      </c>
      <c r="E17" s="349">
        <f t="shared" si="1"/>
        <v>9.242829747328935</v>
      </c>
      <c r="F17" s="349">
        <f t="shared" si="0"/>
        <v>1.7987698735058573</v>
      </c>
      <c r="G17" s="349">
        <f t="shared" si="2"/>
        <v>0.2379486572899078</v>
      </c>
      <c r="H17" s="350">
        <f t="shared" si="3"/>
        <v>4.740389202309421</v>
      </c>
      <c r="I17" s="13"/>
      <c r="J17" s="125"/>
    </row>
    <row r="18" spans="1:10" ht="34.5" customHeight="1">
      <c r="A18" s="2">
        <v>10</v>
      </c>
      <c r="B18" s="10" t="s">
        <v>10</v>
      </c>
      <c r="C18" s="349">
        <v>28.85</v>
      </c>
      <c r="D18" s="349">
        <v>50.29</v>
      </c>
      <c r="E18" s="349">
        <f t="shared" si="1"/>
        <v>5.298927359703285</v>
      </c>
      <c r="F18" s="349">
        <f t="shared" si="0"/>
        <v>74.31542461005198</v>
      </c>
      <c r="G18" s="349">
        <f t="shared" si="2"/>
        <v>9.830749203857875</v>
      </c>
      <c r="H18" s="350">
        <f t="shared" si="3"/>
        <v>7.56483828178058</v>
      </c>
      <c r="I18" s="13"/>
      <c r="J18" s="125"/>
    </row>
    <row r="19" spans="1:10" ht="34.5" customHeight="1">
      <c r="A19" s="2">
        <v>11</v>
      </c>
      <c r="B19" s="10" t="s">
        <v>11</v>
      </c>
      <c r="C19" s="349">
        <v>52.32</v>
      </c>
      <c r="D19" s="349">
        <v>67.03</v>
      </c>
      <c r="E19" s="349">
        <f t="shared" si="1"/>
        <v>7.062777906560175</v>
      </c>
      <c r="F19" s="349">
        <f t="shared" si="0"/>
        <v>28.115443425076453</v>
      </c>
      <c r="G19" s="349">
        <f t="shared" si="2"/>
        <v>3.719226183763147</v>
      </c>
      <c r="H19" s="350">
        <f t="shared" si="3"/>
        <v>5.391002045161661</v>
      </c>
      <c r="I19" s="13"/>
      <c r="J19" s="125"/>
    </row>
    <row r="20" spans="1:10" ht="34.5" customHeight="1">
      <c r="A20" s="2">
        <v>12</v>
      </c>
      <c r="B20" s="10" t="s">
        <v>12</v>
      </c>
      <c r="C20" s="349">
        <v>34.68</v>
      </c>
      <c r="D20" s="349">
        <v>50.51</v>
      </c>
      <c r="E20" s="349">
        <f t="shared" si="1"/>
        <v>5.322108191262933</v>
      </c>
      <c r="F20" s="349">
        <f t="shared" si="0"/>
        <v>45.64590542099192</v>
      </c>
      <c r="G20" s="349">
        <f t="shared" si="2"/>
        <v>6.03822760525669</v>
      </c>
      <c r="H20" s="350">
        <f t="shared" si="3"/>
        <v>5.680167898259811</v>
      </c>
      <c r="I20" s="13"/>
      <c r="J20" s="125"/>
    </row>
    <row r="21" spans="1:10" ht="34.5" customHeight="1">
      <c r="A21" s="2">
        <v>13</v>
      </c>
      <c r="B21" s="10" t="s">
        <v>13</v>
      </c>
      <c r="C21" s="349">
        <v>50.41</v>
      </c>
      <c r="D21" s="349">
        <v>63.36</v>
      </c>
      <c r="E21" s="349">
        <f t="shared" si="1"/>
        <v>6.676079489178766</v>
      </c>
      <c r="F21" s="349">
        <f t="shared" si="0"/>
        <v>25.689347351715934</v>
      </c>
      <c r="G21" s="349">
        <f t="shared" si="2"/>
        <v>3.3982922435102427</v>
      </c>
      <c r="H21" s="350">
        <f t="shared" si="3"/>
        <v>5.037185866344505</v>
      </c>
      <c r="I21" s="13"/>
      <c r="J21" s="125"/>
    </row>
    <row r="22" spans="1:10" ht="34.5" customHeight="1">
      <c r="A22" s="2">
        <v>14</v>
      </c>
      <c r="B22" s="10" t="s">
        <v>14</v>
      </c>
      <c r="C22" s="349">
        <v>20.44</v>
      </c>
      <c r="D22" s="349">
        <v>43.85</v>
      </c>
      <c r="E22" s="349">
        <f t="shared" si="1"/>
        <v>4.620361199502666</v>
      </c>
      <c r="F22" s="349">
        <f t="shared" si="0"/>
        <v>114.5303326810176</v>
      </c>
      <c r="G22" s="349">
        <f t="shared" si="2"/>
        <v>15.150542202098896</v>
      </c>
      <c r="H22" s="350">
        <f t="shared" si="3"/>
        <v>9.88545170080078</v>
      </c>
      <c r="I22" s="13"/>
      <c r="J22" s="125"/>
    </row>
    <row r="23" spans="1:10" ht="34.5" customHeight="1">
      <c r="A23" s="2">
        <v>15</v>
      </c>
      <c r="B23" s="10" t="s">
        <v>15</v>
      </c>
      <c r="C23" s="349">
        <v>51.33</v>
      </c>
      <c r="D23" s="349">
        <v>64.43</v>
      </c>
      <c r="E23" s="349">
        <f t="shared" si="1"/>
        <v>6.788822624491603</v>
      </c>
      <c r="F23" s="349">
        <f t="shared" si="0"/>
        <v>25.521137736216655</v>
      </c>
      <c r="G23" s="349">
        <f t="shared" si="2"/>
        <v>3.3760407855884496</v>
      </c>
      <c r="H23" s="350">
        <f t="shared" si="3"/>
        <v>5.082431705040026</v>
      </c>
      <c r="I23" s="13"/>
      <c r="J23" s="125"/>
    </row>
    <row r="24" spans="1:10" ht="34.5" customHeight="1">
      <c r="A24" s="2">
        <v>16</v>
      </c>
      <c r="B24" s="10" t="s">
        <v>16</v>
      </c>
      <c r="C24" s="349">
        <v>25.31</v>
      </c>
      <c r="D24" s="349">
        <v>42.22</v>
      </c>
      <c r="E24" s="349">
        <f t="shared" si="1"/>
        <v>4.448612311128906</v>
      </c>
      <c r="F24" s="349">
        <f t="shared" si="0"/>
        <v>66.8115369419202</v>
      </c>
      <c r="G24" s="349">
        <f t="shared" si="2"/>
        <v>8.838104162718631</v>
      </c>
      <c r="H24" s="350">
        <f t="shared" si="3"/>
        <v>6.643358236923769</v>
      </c>
      <c r="I24" s="13"/>
      <c r="J24" s="125"/>
    </row>
    <row r="25" spans="1:10" ht="34.5" customHeight="1">
      <c r="A25" s="2">
        <v>17</v>
      </c>
      <c r="B25" s="10" t="s">
        <v>17</v>
      </c>
      <c r="C25" s="349">
        <v>46.56</v>
      </c>
      <c r="D25" s="349">
        <v>59.61</v>
      </c>
      <c r="E25" s="349">
        <f t="shared" si="1"/>
        <v>6.28095167850294</v>
      </c>
      <c r="F25" s="349">
        <f t="shared" si="0"/>
        <v>28.028350515463913</v>
      </c>
      <c r="G25" s="349">
        <f t="shared" si="2"/>
        <v>3.7077051764308506</v>
      </c>
      <c r="H25" s="350">
        <f t="shared" si="3"/>
        <v>4.994328427466895</v>
      </c>
      <c r="I25" s="13"/>
      <c r="J25" s="125"/>
    </row>
    <row r="26" spans="1:10" ht="34.5" customHeight="1">
      <c r="A26" s="7"/>
      <c r="B26" s="10" t="s">
        <v>35</v>
      </c>
      <c r="C26" s="349">
        <f>SUM(C9:C25)</f>
        <v>703.96</v>
      </c>
      <c r="D26" s="349">
        <f>SUM(D9:D25)</f>
        <v>949.0600000000001</v>
      </c>
      <c r="E26" s="349">
        <f>SUM(E9:E25)</f>
        <v>100</v>
      </c>
      <c r="F26" s="349">
        <f>SUM(F9:F25)</f>
        <v>755.9487386870618</v>
      </c>
      <c r="G26" s="349">
        <f>SUM(G9:G25)</f>
        <v>99.99999999999997</v>
      </c>
      <c r="H26" s="350">
        <f t="shared" si="3"/>
        <v>99.99999999999999</v>
      </c>
      <c r="I26" s="44"/>
      <c r="J26" s="125"/>
    </row>
    <row r="27" ht="15.75">
      <c r="H27" s="30"/>
    </row>
    <row r="28" ht="12.75">
      <c r="J28" s="125"/>
    </row>
  </sheetData>
  <mergeCells count="3">
    <mergeCell ref="A5:H5"/>
    <mergeCell ref="F2:I2"/>
    <mergeCell ref="A3:H3"/>
  </mergeCells>
  <printOptions/>
  <pageMargins left="1.46" right="0.75" top="0.93" bottom="0.49" header="0.61" footer="0.5"/>
  <pageSetup horizontalDpi="180" verticalDpi="180" orientation="portrait" paperSize="9" scale="60" r:id="rId1"/>
</worksheet>
</file>

<file path=xl/worksheets/sheet6.xml><?xml version="1.0" encoding="utf-8"?>
<worksheet xmlns="http://schemas.openxmlformats.org/spreadsheetml/2006/main" xmlns:r="http://schemas.openxmlformats.org/officeDocument/2006/relationships">
  <sheetPr codeName="Sheet8">
    <tabColor indexed="17"/>
  </sheetPr>
  <dimension ref="A1:I30"/>
  <sheetViews>
    <sheetView view="pageBreakPreview" zoomScale="60" zoomScaleNormal="50" workbookViewId="0" topLeftCell="A1">
      <selection activeCell="I8" sqref="I8"/>
    </sheetView>
  </sheetViews>
  <sheetFormatPr defaultColWidth="9.00390625" defaultRowHeight="12.75"/>
  <cols>
    <col min="1" max="1" width="23.375" style="0" customWidth="1"/>
    <col min="2" max="2" width="15.625" style="0" customWidth="1"/>
    <col min="3" max="3" width="16.625" style="0" customWidth="1"/>
    <col min="4" max="6" width="15.625" style="0" customWidth="1"/>
    <col min="7" max="7" width="22.875" style="0" customWidth="1"/>
    <col min="8" max="8" width="15.625" style="0" customWidth="1"/>
    <col min="9" max="9" width="13.25390625" style="0" customWidth="1"/>
  </cols>
  <sheetData>
    <row r="1" spans="1:9" ht="28.5" customHeight="1">
      <c r="A1" s="15"/>
      <c r="B1" s="15"/>
      <c r="C1" s="15"/>
      <c r="E1" s="201"/>
      <c r="F1" s="201"/>
      <c r="G1" s="201"/>
      <c r="H1" s="301" t="s">
        <v>224</v>
      </c>
      <c r="I1" s="436" t="s">
        <v>267</v>
      </c>
    </row>
    <row r="2" spans="1:9" ht="24.75" customHeight="1">
      <c r="A2" s="660" t="s">
        <v>160</v>
      </c>
      <c r="B2" s="660"/>
      <c r="C2" s="660"/>
      <c r="D2" s="660"/>
      <c r="E2" s="660"/>
      <c r="F2" s="660"/>
      <c r="G2" s="660"/>
      <c r="H2" s="660"/>
      <c r="I2" s="240"/>
    </row>
    <row r="3" spans="1:8" ht="29.25" customHeight="1">
      <c r="A3" s="674" t="s">
        <v>262</v>
      </c>
      <c r="B3" s="674"/>
      <c r="C3" s="674"/>
      <c r="D3" s="674"/>
      <c r="E3" s="674"/>
      <c r="F3" s="674"/>
      <c r="G3" s="674"/>
      <c r="H3" s="674"/>
    </row>
    <row r="4" spans="1:8" ht="24" customHeight="1">
      <c r="A4" s="675" t="s">
        <v>263</v>
      </c>
      <c r="B4" s="676"/>
      <c r="C4" s="676"/>
      <c r="D4" s="676"/>
      <c r="E4" s="676"/>
      <c r="F4" s="676"/>
      <c r="G4" s="676"/>
      <c r="H4" s="677"/>
    </row>
    <row r="5" spans="1:8" s="360" customFormat="1" ht="53.25" customHeight="1">
      <c r="A5" s="427" t="s">
        <v>149</v>
      </c>
      <c r="B5" s="428" t="s">
        <v>260</v>
      </c>
      <c r="C5" s="429" t="s">
        <v>258</v>
      </c>
      <c r="D5" s="428" t="s">
        <v>259</v>
      </c>
      <c r="E5" s="429" t="s">
        <v>103</v>
      </c>
      <c r="F5" s="429" t="s">
        <v>104</v>
      </c>
      <c r="G5" s="431" t="s">
        <v>264</v>
      </c>
      <c r="H5" s="431" t="s">
        <v>261</v>
      </c>
    </row>
    <row r="6" spans="1:8" ht="32.25" customHeight="1">
      <c r="A6" s="142"/>
      <c r="B6" s="143"/>
      <c r="C6" s="144" t="s">
        <v>301</v>
      </c>
      <c r="D6" s="143"/>
      <c r="E6" s="144" t="s">
        <v>158</v>
      </c>
      <c r="F6" s="144" t="s">
        <v>159</v>
      </c>
      <c r="G6" s="144" t="s">
        <v>302</v>
      </c>
      <c r="H6" s="153"/>
    </row>
    <row r="7" spans="1:8" s="435" customFormat="1" ht="27" customHeight="1">
      <c r="A7" s="432" t="s">
        <v>22</v>
      </c>
      <c r="B7" s="433">
        <v>2</v>
      </c>
      <c r="C7" s="433" t="s">
        <v>105</v>
      </c>
      <c r="D7" s="433" t="s">
        <v>106</v>
      </c>
      <c r="E7" s="433" t="s">
        <v>107</v>
      </c>
      <c r="F7" s="433" t="s">
        <v>42</v>
      </c>
      <c r="G7" s="433" t="s">
        <v>108</v>
      </c>
      <c r="H7" s="434" t="s">
        <v>109</v>
      </c>
    </row>
    <row r="8" spans="1:9" ht="34.5" customHeight="1">
      <c r="A8" s="148" t="s">
        <v>2</v>
      </c>
      <c r="B8" s="430">
        <v>19</v>
      </c>
      <c r="C8" s="304">
        <v>0</v>
      </c>
      <c r="D8" s="303">
        <v>19.1</v>
      </c>
      <c r="E8" s="305">
        <v>0</v>
      </c>
      <c r="F8" s="305">
        <f aca="true" t="shared" si="0" ref="F8:F19">E8-C8</f>
        <v>0</v>
      </c>
      <c r="G8" s="306">
        <v>3.595</v>
      </c>
      <c r="H8" s="307">
        <f aca="true" t="shared" si="1" ref="H8:H24">G8/$G$25*100</f>
        <v>8.527714082391084</v>
      </c>
      <c r="I8" s="104"/>
    </row>
    <row r="9" spans="1:9" ht="34.5" customHeight="1" thickBot="1">
      <c r="A9" s="122" t="s">
        <v>3</v>
      </c>
      <c r="B9" s="303">
        <v>30.2</v>
      </c>
      <c r="C9" s="304">
        <f>(B9-21)/3</f>
        <v>3.0666666666666664</v>
      </c>
      <c r="D9" s="303">
        <v>30.4</v>
      </c>
      <c r="E9" s="308">
        <f aca="true" t="shared" si="2" ref="E9:E21">B9-D9</f>
        <v>-0.1999999999999993</v>
      </c>
      <c r="F9" s="309">
        <f t="shared" si="0"/>
        <v>-3.2666666666666657</v>
      </c>
      <c r="G9" s="306">
        <v>0.4033333333333351</v>
      </c>
      <c r="H9" s="307">
        <f t="shared" si="1"/>
        <v>0.956748636040172</v>
      </c>
      <c r="I9" s="104"/>
    </row>
    <row r="10" spans="1:9" ht="34.5" customHeight="1" thickBot="1">
      <c r="A10" s="122" t="s">
        <v>138</v>
      </c>
      <c r="B10" s="303">
        <v>27.4</v>
      </c>
      <c r="C10" s="304">
        <f>(B10-21)/3</f>
        <v>2.133333333333333</v>
      </c>
      <c r="D10" s="303">
        <v>27.2</v>
      </c>
      <c r="E10" s="310">
        <f t="shared" si="2"/>
        <v>0.1999999999999993</v>
      </c>
      <c r="F10" s="311">
        <f t="shared" si="0"/>
        <v>-1.9333333333333336</v>
      </c>
      <c r="G10" s="306">
        <f aca="true" t="shared" si="3" ref="G10:G23">-(-3.27-(F10))</f>
        <v>1.3366666666666664</v>
      </c>
      <c r="H10" s="307">
        <f t="shared" si="1"/>
        <v>3.1707124219182417</v>
      </c>
      <c r="I10" s="104"/>
    </row>
    <row r="11" spans="1:9" ht="34.5" customHeight="1">
      <c r="A11" s="148" t="s">
        <v>5</v>
      </c>
      <c r="B11" s="303">
        <v>13.8</v>
      </c>
      <c r="C11" s="304">
        <v>0</v>
      </c>
      <c r="D11" s="303">
        <v>14.8</v>
      </c>
      <c r="E11" s="305">
        <v>0</v>
      </c>
      <c r="F11" s="312">
        <f t="shared" si="0"/>
        <v>0</v>
      </c>
      <c r="G11" s="306">
        <v>3.595</v>
      </c>
      <c r="H11" s="307">
        <f t="shared" si="1"/>
        <v>8.527714082391084</v>
      </c>
      <c r="I11" s="104"/>
    </row>
    <row r="12" spans="1:9" ht="34.5" customHeight="1">
      <c r="A12" s="122" t="s">
        <v>6</v>
      </c>
      <c r="B12" s="303">
        <v>24.3</v>
      </c>
      <c r="C12" s="304">
        <f>(B12-21)/3</f>
        <v>1.1000000000000003</v>
      </c>
      <c r="D12" s="303">
        <v>23.7</v>
      </c>
      <c r="E12" s="308">
        <f t="shared" si="2"/>
        <v>0.6000000000000014</v>
      </c>
      <c r="F12" s="305">
        <f t="shared" si="0"/>
        <v>-0.4999999999999989</v>
      </c>
      <c r="G12" s="306">
        <f t="shared" si="3"/>
        <v>2.7700000000000014</v>
      </c>
      <c r="H12" s="307">
        <f t="shared" si="1"/>
        <v>6.570728235945287</v>
      </c>
      <c r="I12" s="104"/>
    </row>
    <row r="13" spans="1:9" ht="34.5" customHeight="1">
      <c r="A13" s="122" t="s">
        <v>7</v>
      </c>
      <c r="B13" s="303">
        <v>25.1</v>
      </c>
      <c r="C13" s="304">
        <f>(B13-21)/3</f>
        <v>1.3666666666666671</v>
      </c>
      <c r="D13" s="303">
        <v>24.3</v>
      </c>
      <c r="E13" s="308">
        <f t="shared" si="2"/>
        <v>0.8000000000000007</v>
      </c>
      <c r="F13" s="305">
        <f t="shared" si="0"/>
        <v>-0.5666666666666664</v>
      </c>
      <c r="G13" s="306">
        <f t="shared" si="3"/>
        <v>2.7033333333333336</v>
      </c>
      <c r="H13" s="307">
        <f t="shared" si="1"/>
        <v>6.4125879655254225</v>
      </c>
      <c r="I13" s="104"/>
    </row>
    <row r="14" spans="1:9" ht="34.5" customHeight="1" thickBot="1">
      <c r="A14" s="122" t="s">
        <v>139</v>
      </c>
      <c r="B14" s="303">
        <v>26.2</v>
      </c>
      <c r="C14" s="304">
        <f>(B14-21)/3</f>
        <v>1.7333333333333332</v>
      </c>
      <c r="D14" s="303">
        <v>26.8</v>
      </c>
      <c r="E14" s="308">
        <f t="shared" si="2"/>
        <v>-0.6000000000000014</v>
      </c>
      <c r="F14" s="313">
        <f t="shared" si="0"/>
        <v>-2.333333333333335</v>
      </c>
      <c r="G14" s="306">
        <f t="shared" si="3"/>
        <v>0.9366666666666652</v>
      </c>
      <c r="H14" s="307">
        <f t="shared" si="1"/>
        <v>2.221870799399064</v>
      </c>
      <c r="I14" s="104"/>
    </row>
    <row r="15" spans="1:9" ht="34.5" customHeight="1" thickBot="1">
      <c r="A15" s="122" t="s">
        <v>8</v>
      </c>
      <c r="B15" s="303">
        <v>20.9</v>
      </c>
      <c r="C15" s="304">
        <f>(B15-21)/4</f>
        <v>-0.025000000000000355</v>
      </c>
      <c r="D15" s="303">
        <v>20.6</v>
      </c>
      <c r="E15" s="310">
        <f t="shared" si="2"/>
        <v>0.29999999999999716</v>
      </c>
      <c r="F15" s="314">
        <f t="shared" si="0"/>
        <v>0.3249999999999975</v>
      </c>
      <c r="G15" s="306">
        <f t="shared" si="3"/>
        <v>3.5949999999999975</v>
      </c>
      <c r="H15" s="307">
        <f t="shared" si="1"/>
        <v>8.527714082391077</v>
      </c>
      <c r="I15" s="104"/>
    </row>
    <row r="16" spans="1:9" ht="34.5" customHeight="1">
      <c r="A16" s="148" t="s">
        <v>9</v>
      </c>
      <c r="B16" s="303">
        <v>15.2</v>
      </c>
      <c r="C16" s="304">
        <v>0</v>
      </c>
      <c r="D16" s="303">
        <v>15</v>
      </c>
      <c r="E16" s="305">
        <v>0</v>
      </c>
      <c r="F16" s="312">
        <f t="shared" si="0"/>
        <v>0</v>
      </c>
      <c r="G16" s="306">
        <v>3.595</v>
      </c>
      <c r="H16" s="307">
        <f t="shared" si="1"/>
        <v>8.527714082391084</v>
      </c>
      <c r="I16" s="104"/>
    </row>
    <row r="17" spans="1:9" ht="34.5" customHeight="1">
      <c r="A17" s="122" t="s">
        <v>10</v>
      </c>
      <c r="B17" s="303">
        <v>29.8</v>
      </c>
      <c r="C17" s="304">
        <f>(B17-21)/3</f>
        <v>2.9333333333333336</v>
      </c>
      <c r="D17" s="303">
        <v>29.4</v>
      </c>
      <c r="E17" s="308">
        <f t="shared" si="2"/>
        <v>0.40000000000000213</v>
      </c>
      <c r="F17" s="305">
        <f t="shared" si="0"/>
        <v>-2.5333333333333314</v>
      </c>
      <c r="G17" s="306">
        <f t="shared" si="3"/>
        <v>0.7366666666666686</v>
      </c>
      <c r="H17" s="307">
        <f t="shared" si="1"/>
        <v>1.7474499881394847</v>
      </c>
      <c r="I17" s="104"/>
    </row>
    <row r="18" spans="1:9" ht="34.5" customHeight="1">
      <c r="A18" s="148" t="s">
        <v>11</v>
      </c>
      <c r="B18" s="303">
        <v>19.1</v>
      </c>
      <c r="C18" s="304">
        <v>0</v>
      </c>
      <c r="D18" s="303">
        <v>19</v>
      </c>
      <c r="E18" s="305">
        <v>0</v>
      </c>
      <c r="F18" s="305">
        <f t="shared" si="0"/>
        <v>0</v>
      </c>
      <c r="G18" s="306">
        <v>3.595</v>
      </c>
      <c r="H18" s="307">
        <f t="shared" si="1"/>
        <v>8.527714082391084</v>
      </c>
      <c r="I18" s="104"/>
    </row>
    <row r="19" spans="1:9" ht="34.5" customHeight="1">
      <c r="A19" s="122" t="s">
        <v>12</v>
      </c>
      <c r="B19" s="303">
        <v>22.7</v>
      </c>
      <c r="C19" s="304">
        <f>(B19-21)/3</f>
        <v>0.5666666666666664</v>
      </c>
      <c r="D19" s="303">
        <v>22.3</v>
      </c>
      <c r="E19" s="308">
        <f t="shared" si="2"/>
        <v>0.3999999999999986</v>
      </c>
      <c r="F19" s="305">
        <f t="shared" si="0"/>
        <v>-0.16666666666666785</v>
      </c>
      <c r="G19" s="306">
        <f t="shared" si="3"/>
        <v>3.103333333333332</v>
      </c>
      <c r="H19" s="307">
        <f t="shared" si="1"/>
        <v>7.361429588044594</v>
      </c>
      <c r="I19" s="104"/>
    </row>
    <row r="20" spans="1:9" ht="34.5" customHeight="1">
      <c r="A20" s="148" t="s">
        <v>13</v>
      </c>
      <c r="B20" s="303">
        <v>18.7</v>
      </c>
      <c r="C20" s="304">
        <v>0</v>
      </c>
      <c r="D20" s="303">
        <v>18.1</v>
      </c>
      <c r="E20" s="308">
        <v>0</v>
      </c>
      <c r="F20" s="305">
        <f>E20-C20</f>
        <v>0</v>
      </c>
      <c r="G20" s="306">
        <v>3.595</v>
      </c>
      <c r="H20" s="307">
        <f t="shared" si="1"/>
        <v>8.527714082391084</v>
      </c>
      <c r="I20" s="104"/>
    </row>
    <row r="21" spans="1:9" ht="34.5" customHeight="1">
      <c r="A21" s="122" t="s">
        <v>14</v>
      </c>
      <c r="B21" s="303">
        <v>29</v>
      </c>
      <c r="C21" s="304">
        <f>(B21-21)/3</f>
        <v>2.6666666666666665</v>
      </c>
      <c r="D21" s="303">
        <v>28.6</v>
      </c>
      <c r="E21" s="308">
        <f t="shared" si="2"/>
        <v>0.3999999999999986</v>
      </c>
      <c r="F21" s="308">
        <f>E21-C21</f>
        <v>-2.266666666666668</v>
      </c>
      <c r="G21" s="306">
        <f t="shared" si="3"/>
        <v>1.003333333333332</v>
      </c>
      <c r="H21" s="307">
        <f t="shared" si="1"/>
        <v>2.380011069818927</v>
      </c>
      <c r="I21" s="104"/>
    </row>
    <row r="22" spans="1:9" ht="34.5" customHeight="1" thickBot="1">
      <c r="A22" s="148" t="s">
        <v>15</v>
      </c>
      <c r="B22" s="303">
        <v>17.1</v>
      </c>
      <c r="C22" s="304">
        <v>0</v>
      </c>
      <c r="D22" s="303">
        <v>16.5</v>
      </c>
      <c r="E22" s="305">
        <v>0</v>
      </c>
      <c r="F22" s="313">
        <f>E22-C22</f>
        <v>0</v>
      </c>
      <c r="G22" s="306">
        <v>3.595</v>
      </c>
      <c r="H22" s="307">
        <f t="shared" si="1"/>
        <v>8.527714082391084</v>
      </c>
      <c r="I22" s="231"/>
    </row>
    <row r="23" spans="1:9" ht="34.5" customHeight="1" thickBot="1">
      <c r="A23" s="122" t="s">
        <v>16</v>
      </c>
      <c r="B23" s="303">
        <v>30.8</v>
      </c>
      <c r="C23" s="304">
        <f>(B23-21)/3</f>
        <v>3.266666666666667</v>
      </c>
      <c r="D23" s="303">
        <v>30.4</v>
      </c>
      <c r="E23" s="310">
        <f>B23-D23</f>
        <v>0.40000000000000213</v>
      </c>
      <c r="F23" s="314">
        <f>E23-C23</f>
        <v>-2.866666666666665</v>
      </c>
      <c r="G23" s="306">
        <f t="shared" si="3"/>
        <v>0.4033333333333351</v>
      </c>
      <c r="H23" s="307">
        <f t="shared" si="1"/>
        <v>0.956748636040172</v>
      </c>
      <c r="I23" s="231"/>
    </row>
    <row r="24" spans="1:9" ht="34.5" customHeight="1">
      <c r="A24" s="148" t="s">
        <v>17</v>
      </c>
      <c r="B24" s="303">
        <v>19.3</v>
      </c>
      <c r="C24" s="304">
        <v>0</v>
      </c>
      <c r="D24" s="303">
        <v>18.8</v>
      </c>
      <c r="E24" s="305">
        <v>0</v>
      </c>
      <c r="F24" s="312">
        <f>E24-C24</f>
        <v>0</v>
      </c>
      <c r="G24" s="306">
        <v>3.595</v>
      </c>
      <c r="H24" s="307">
        <f t="shared" si="1"/>
        <v>8.527714082391084</v>
      </c>
      <c r="I24" s="231"/>
    </row>
    <row r="25" spans="1:9" ht="34.5" customHeight="1">
      <c r="A25" s="176" t="s">
        <v>110</v>
      </c>
      <c r="B25" s="315" t="s">
        <v>4</v>
      </c>
      <c r="C25" s="308" t="s">
        <v>4</v>
      </c>
      <c r="D25" s="315" t="s">
        <v>4</v>
      </c>
      <c r="E25" s="308" t="s">
        <v>41</v>
      </c>
      <c r="F25" s="308" t="s">
        <v>4</v>
      </c>
      <c r="G25" s="308">
        <f>SUM(G8:G24)</f>
        <v>42.15666666666666</v>
      </c>
      <c r="H25" s="307">
        <f>SUM(H8:H24)</f>
        <v>100.00000000000006</v>
      </c>
      <c r="I25" s="232"/>
    </row>
    <row r="26" spans="1:8" ht="54.75" customHeight="1">
      <c r="A26" s="678" t="s">
        <v>186</v>
      </c>
      <c r="B26" s="678"/>
      <c r="C26" s="678"/>
      <c r="D26" s="678"/>
      <c r="E26" s="678"/>
      <c r="F26" s="678"/>
      <c r="G26" s="678"/>
      <c r="H26" s="678"/>
    </row>
    <row r="27" spans="1:8" ht="42.75" customHeight="1">
      <c r="A27" s="679" t="s">
        <v>210</v>
      </c>
      <c r="B27" s="673"/>
      <c r="C27" s="673"/>
      <c r="D27" s="673"/>
      <c r="E27" s="673"/>
      <c r="F27" s="673"/>
      <c r="G27" s="673"/>
      <c r="H27" s="673"/>
    </row>
    <row r="28" spans="1:8" ht="30" customHeight="1">
      <c r="A28" s="672" t="s">
        <v>265</v>
      </c>
      <c r="B28" s="673"/>
      <c r="C28" s="673"/>
      <c r="D28" s="673"/>
      <c r="E28" s="673"/>
      <c r="F28" s="673"/>
      <c r="G28" s="673"/>
      <c r="H28" s="673"/>
    </row>
    <row r="29" spans="1:8" ht="17.25" customHeight="1">
      <c r="A29" s="15"/>
      <c r="B29" s="15"/>
      <c r="C29" s="15"/>
      <c r="D29" s="15"/>
      <c r="E29" s="15"/>
      <c r="F29" s="15"/>
      <c r="G29" s="15" t="s">
        <v>161</v>
      </c>
      <c r="H29" s="15"/>
    </row>
    <row r="30" ht="12">
      <c r="A30" t="s">
        <v>235</v>
      </c>
    </row>
  </sheetData>
  <mergeCells count="6">
    <mergeCell ref="A28:H28"/>
    <mergeCell ref="A2:H2"/>
    <mergeCell ref="A3:H3"/>
    <mergeCell ref="A4:H4"/>
    <mergeCell ref="A26:H26"/>
    <mergeCell ref="A27:H27"/>
  </mergeCells>
  <printOptions/>
  <pageMargins left="0.68" right="0.75" top="0.63" bottom="1" header="0.5" footer="0.5"/>
  <pageSetup horizontalDpi="180" verticalDpi="180" orientation="portrait" paperSize="9" scale="60" r:id="rId1"/>
  <headerFooter alignWithMargins="0">
    <oddFooter>&amp;L&amp;A&amp;D</oddFooter>
  </headerFooter>
</worksheet>
</file>

<file path=xl/worksheets/sheet7.xml><?xml version="1.0" encoding="utf-8"?>
<worksheet xmlns="http://schemas.openxmlformats.org/spreadsheetml/2006/main" xmlns:r="http://schemas.openxmlformats.org/officeDocument/2006/relationships">
  <sheetPr codeName="Sheet9">
    <tabColor indexed="17"/>
  </sheetPr>
  <dimension ref="A1:Y30"/>
  <sheetViews>
    <sheetView view="pageBreakPreview" zoomScale="60" zoomScaleNormal="50" workbookViewId="0" topLeftCell="A1">
      <selection activeCell="Q10" sqref="Q10"/>
    </sheetView>
  </sheetViews>
  <sheetFormatPr defaultColWidth="9.00390625" defaultRowHeight="12.75"/>
  <cols>
    <col min="1" max="1" width="23.125" style="0" customWidth="1"/>
    <col min="2" max="2" width="11.875" style="0" hidden="1" customWidth="1"/>
    <col min="3" max="3" width="13.25390625" style="0" hidden="1" customWidth="1"/>
    <col min="4" max="4" width="12.625" style="0" hidden="1" customWidth="1"/>
    <col min="5" max="5" width="13.375" style="0" hidden="1" customWidth="1"/>
    <col min="6" max="6" width="12.625" style="0" hidden="1" customWidth="1"/>
    <col min="7" max="7" width="12.00390625" style="0" hidden="1" customWidth="1"/>
    <col min="8" max="8" width="13.375" style="0" hidden="1" customWidth="1"/>
    <col min="9" max="9" width="15.625" style="0" customWidth="1"/>
    <col min="10" max="10" width="14.25390625" style="0" customWidth="1"/>
    <col min="11" max="11" width="14.875" style="0" customWidth="1"/>
    <col min="12" max="12" width="15.625" style="0" customWidth="1"/>
    <col min="13" max="13" width="16.125" style="0" customWidth="1"/>
    <col min="14" max="14" width="21.75390625" style="0" customWidth="1"/>
    <col min="15" max="15" width="19.375" style="0" customWidth="1"/>
    <col min="16" max="16" width="19.875" style="0" customWidth="1"/>
    <col min="17" max="17" width="20.375" style="0" customWidth="1"/>
    <col min="18" max="18" width="16.50390625" style="0" customWidth="1"/>
  </cols>
  <sheetData>
    <row r="1" spans="15:16" ht="12.75" customHeight="1">
      <c r="O1" s="230"/>
      <c r="P1" s="230"/>
    </row>
    <row r="2" spans="1:17" ht="15.75">
      <c r="A2" s="15"/>
      <c r="B2" s="15"/>
      <c r="C2" s="15"/>
      <c r="D2" s="15"/>
      <c r="E2" s="15"/>
      <c r="F2" s="15"/>
      <c r="G2" s="15"/>
      <c r="H2" s="15"/>
      <c r="I2" s="15"/>
      <c r="J2" s="15"/>
      <c r="K2" s="15"/>
      <c r="L2" s="15"/>
      <c r="M2" s="644" t="s">
        <v>224</v>
      </c>
      <c r="N2" s="644"/>
      <c r="O2" s="644"/>
      <c r="P2" s="644"/>
      <c r="Q2" s="436"/>
    </row>
    <row r="3" spans="1:16" ht="28.5" customHeight="1">
      <c r="A3" s="660" t="s">
        <v>102</v>
      </c>
      <c r="B3" s="660"/>
      <c r="C3" s="660"/>
      <c r="D3" s="660"/>
      <c r="E3" s="660"/>
      <c r="F3" s="660"/>
      <c r="G3" s="660"/>
      <c r="H3" s="660"/>
      <c r="I3" s="660"/>
      <c r="J3" s="660"/>
      <c r="K3" s="660"/>
      <c r="L3" s="660"/>
      <c r="M3" s="660"/>
      <c r="N3" s="660"/>
      <c r="O3" s="660"/>
      <c r="P3" s="660"/>
    </row>
    <row r="4" spans="1:18" ht="28.5" customHeight="1">
      <c r="A4" s="674" t="s">
        <v>237</v>
      </c>
      <c r="B4" s="674"/>
      <c r="C4" s="674"/>
      <c r="D4" s="674"/>
      <c r="E4" s="674"/>
      <c r="F4" s="674"/>
      <c r="G4" s="674"/>
      <c r="H4" s="674"/>
      <c r="I4" s="674"/>
      <c r="J4" s="674"/>
      <c r="K4" s="674"/>
      <c r="L4" s="674"/>
      <c r="M4" s="674"/>
      <c r="N4" s="674"/>
      <c r="O4" s="674"/>
      <c r="P4" s="674"/>
      <c r="R4" s="103"/>
    </row>
    <row r="5" spans="1:16" ht="34.5" customHeight="1">
      <c r="A5" s="683" t="s">
        <v>168</v>
      </c>
      <c r="B5" s="683"/>
      <c r="C5" s="683"/>
      <c r="D5" s="683"/>
      <c r="E5" s="683"/>
      <c r="F5" s="683"/>
      <c r="G5" s="683"/>
      <c r="H5" s="683"/>
      <c r="I5" s="683"/>
      <c r="J5" s="683"/>
      <c r="K5" s="683"/>
      <c r="L5" s="683"/>
      <c r="M5" s="683"/>
      <c r="N5" s="683"/>
      <c r="O5" s="683"/>
      <c r="P5" s="684"/>
    </row>
    <row r="6" spans="1:17" s="337" customFormat="1" ht="56.25" customHeight="1">
      <c r="A6" s="332" t="s">
        <v>0</v>
      </c>
      <c r="B6" s="428" t="s">
        <v>260</v>
      </c>
      <c r="C6" s="429" t="s">
        <v>258</v>
      </c>
      <c r="D6" s="428" t="s">
        <v>259</v>
      </c>
      <c r="E6" s="429" t="s">
        <v>103</v>
      </c>
      <c r="F6" s="429" t="s">
        <v>104</v>
      </c>
      <c r="G6" s="431" t="s">
        <v>264</v>
      </c>
      <c r="H6" s="431" t="s">
        <v>261</v>
      </c>
      <c r="I6" s="333" t="s">
        <v>190</v>
      </c>
      <c r="J6" s="333" t="s">
        <v>248</v>
      </c>
      <c r="K6" s="333" t="s">
        <v>234</v>
      </c>
      <c r="L6" s="333" t="s">
        <v>103</v>
      </c>
      <c r="M6" s="333" t="s">
        <v>104</v>
      </c>
      <c r="N6" s="251" t="s">
        <v>249</v>
      </c>
      <c r="O6" s="334" t="s">
        <v>167</v>
      </c>
      <c r="P6" s="335" t="s">
        <v>166</v>
      </c>
      <c r="Q6" s="336"/>
    </row>
    <row r="7" spans="1:17" ht="27.75" customHeight="1">
      <c r="A7" s="182"/>
      <c r="B7" s="143"/>
      <c r="C7" s="144" t="s">
        <v>209</v>
      </c>
      <c r="D7" s="143"/>
      <c r="E7" s="144" t="s">
        <v>158</v>
      </c>
      <c r="F7" s="144" t="s">
        <v>159</v>
      </c>
      <c r="G7" s="144" t="s">
        <v>211</v>
      </c>
      <c r="H7" s="153"/>
      <c r="I7" s="145"/>
      <c r="J7" s="145" t="s">
        <v>303</v>
      </c>
      <c r="K7" s="199"/>
      <c r="L7" s="144" t="s">
        <v>158</v>
      </c>
      <c r="M7" s="144" t="s">
        <v>238</v>
      </c>
      <c r="N7" s="144" t="s">
        <v>250</v>
      </c>
      <c r="O7" s="200"/>
      <c r="P7" s="155"/>
      <c r="Q7" s="243"/>
    </row>
    <row r="8" spans="1:17" s="341" customFormat="1" ht="24" customHeight="1">
      <c r="A8" s="338" t="s">
        <v>22</v>
      </c>
      <c r="B8" s="339">
        <v>2</v>
      </c>
      <c r="C8" s="339" t="s">
        <v>105</v>
      </c>
      <c r="D8" s="339" t="s">
        <v>106</v>
      </c>
      <c r="E8" s="339" t="s">
        <v>107</v>
      </c>
      <c r="F8" s="339" t="s">
        <v>42</v>
      </c>
      <c r="G8" s="339" t="s">
        <v>108</v>
      </c>
      <c r="H8" s="339" t="s">
        <v>109</v>
      </c>
      <c r="I8" s="339">
        <v>2</v>
      </c>
      <c r="J8" s="339">
        <v>3</v>
      </c>
      <c r="K8" s="339">
        <v>4</v>
      </c>
      <c r="L8" s="339">
        <v>5</v>
      </c>
      <c r="M8" s="339">
        <v>6</v>
      </c>
      <c r="N8" s="339">
        <v>7</v>
      </c>
      <c r="O8" s="339">
        <v>8</v>
      </c>
      <c r="P8" s="342">
        <v>9</v>
      </c>
      <c r="Q8" s="340"/>
    </row>
    <row r="9" spans="1:17" ht="41.25" customHeight="1">
      <c r="A9" s="154" t="s">
        <v>2</v>
      </c>
      <c r="B9" s="198">
        <v>19</v>
      </c>
      <c r="C9" s="149">
        <v>0</v>
      </c>
      <c r="D9" s="198">
        <v>19.1</v>
      </c>
      <c r="E9" s="150">
        <v>0</v>
      </c>
      <c r="F9" s="150">
        <v>0</v>
      </c>
      <c r="G9" s="146">
        <v>3.595</v>
      </c>
      <c r="H9" s="153">
        <v>8.527714082391084</v>
      </c>
      <c r="I9" s="253">
        <v>59</v>
      </c>
      <c r="J9" s="253">
        <f>(I9-45)/3</f>
        <v>4.666666666666667</v>
      </c>
      <c r="K9" s="253">
        <v>57</v>
      </c>
      <c r="L9" s="253">
        <f>I9-K9</f>
        <v>2</v>
      </c>
      <c r="M9" s="253">
        <f>(L9-J9)</f>
        <v>-2.666666666666667</v>
      </c>
      <c r="N9" s="316">
        <f>-(-10-(M9))</f>
        <v>7.333333333333333</v>
      </c>
      <c r="O9" s="317">
        <f aca="true" t="shared" si="0" ref="O9:O25">N9/$N$26*100</f>
        <v>5.789016656579743</v>
      </c>
      <c r="P9" s="156">
        <f aca="true" t="shared" si="1" ref="P9:P25">AVERAGE(H9,O9)</f>
        <v>7.158365369485413</v>
      </c>
      <c r="Q9" s="233"/>
    </row>
    <row r="10" spans="1:17" ht="36" customHeight="1" thickBot="1">
      <c r="A10" s="122" t="s">
        <v>3</v>
      </c>
      <c r="B10" s="198">
        <v>30.2</v>
      </c>
      <c r="C10" s="149">
        <v>3.0666666666666664</v>
      </c>
      <c r="D10" s="198">
        <v>30.4</v>
      </c>
      <c r="E10" s="152">
        <v>-0.1999999999999993</v>
      </c>
      <c r="F10" s="225">
        <v>-3.2666666666666657</v>
      </c>
      <c r="G10" s="146">
        <v>0.4033333333333351</v>
      </c>
      <c r="H10" s="153">
        <v>0.956748636040172</v>
      </c>
      <c r="I10" s="253">
        <v>61</v>
      </c>
      <c r="J10" s="253">
        <f>(I10-45)/3</f>
        <v>5.333333333333333</v>
      </c>
      <c r="K10" s="253">
        <v>61</v>
      </c>
      <c r="L10" s="253">
        <f aca="true" t="shared" si="2" ref="L10:L25">I10-K10</f>
        <v>0</v>
      </c>
      <c r="M10" s="318">
        <f>(L10-J10)</f>
        <v>-5.333333333333333</v>
      </c>
      <c r="N10" s="316">
        <f aca="true" t="shared" si="3" ref="N10:N25">-(-10-(M10))</f>
        <v>4.666666666666667</v>
      </c>
      <c r="O10" s="317">
        <f t="shared" si="0"/>
        <v>3.683919690550746</v>
      </c>
      <c r="P10" s="156">
        <f t="shared" si="1"/>
        <v>2.320334163295459</v>
      </c>
      <c r="Q10" s="233"/>
    </row>
    <row r="11" spans="1:17" ht="36" customHeight="1" thickBot="1">
      <c r="A11" s="122" t="s">
        <v>138</v>
      </c>
      <c r="B11" s="198">
        <v>27.4</v>
      </c>
      <c r="C11" s="149">
        <v>2.133333333333333</v>
      </c>
      <c r="D11" s="198">
        <v>27.2</v>
      </c>
      <c r="E11" s="224">
        <v>0.1999999999999993</v>
      </c>
      <c r="F11" s="229">
        <v>-1.9333333333333336</v>
      </c>
      <c r="G11" s="146">
        <v>1.3366666666666664</v>
      </c>
      <c r="H11" s="153">
        <v>3.1707124219182417</v>
      </c>
      <c r="I11" s="253">
        <v>60</v>
      </c>
      <c r="J11" s="253">
        <f>(I11-45)/3</f>
        <v>5</v>
      </c>
      <c r="K11" s="253">
        <v>63</v>
      </c>
      <c r="L11" s="253">
        <f t="shared" si="2"/>
        <v>-3</v>
      </c>
      <c r="M11" s="318">
        <f>(L11-J11)</f>
        <v>-8</v>
      </c>
      <c r="N11" s="316">
        <f t="shared" si="3"/>
        <v>2</v>
      </c>
      <c r="O11" s="317">
        <f t="shared" si="0"/>
        <v>1.578822724521748</v>
      </c>
      <c r="P11" s="156">
        <f t="shared" si="1"/>
        <v>2.374767573219995</v>
      </c>
      <c r="Q11" s="233"/>
    </row>
    <row r="12" spans="1:17" ht="36" customHeight="1">
      <c r="A12" s="148" t="s">
        <v>5</v>
      </c>
      <c r="B12" s="198">
        <v>13.8</v>
      </c>
      <c r="C12" s="149">
        <v>0</v>
      </c>
      <c r="D12" s="198">
        <v>14.8</v>
      </c>
      <c r="E12" s="150">
        <v>0</v>
      </c>
      <c r="F12" s="226">
        <v>0</v>
      </c>
      <c r="G12" s="146">
        <v>3.595</v>
      </c>
      <c r="H12" s="153">
        <v>8.527714082391084</v>
      </c>
      <c r="I12" s="318">
        <v>17</v>
      </c>
      <c r="J12" s="253">
        <v>0</v>
      </c>
      <c r="K12" s="318">
        <v>16</v>
      </c>
      <c r="L12" s="318">
        <f t="shared" si="2"/>
        <v>1</v>
      </c>
      <c r="M12" s="318">
        <v>0</v>
      </c>
      <c r="N12" s="316">
        <v>13.67</v>
      </c>
      <c r="O12" s="317">
        <f t="shared" si="0"/>
        <v>10.791253322106147</v>
      </c>
      <c r="P12" s="156">
        <f t="shared" si="1"/>
        <v>9.659483702248615</v>
      </c>
      <c r="Q12" s="233"/>
    </row>
    <row r="13" spans="1:17" ht="36" customHeight="1" thickBot="1">
      <c r="A13" s="122" t="s">
        <v>6</v>
      </c>
      <c r="B13" s="198">
        <v>24.3</v>
      </c>
      <c r="C13" s="149">
        <v>1.1</v>
      </c>
      <c r="D13" s="198">
        <v>23.7</v>
      </c>
      <c r="E13" s="152">
        <v>0.6000000000000014</v>
      </c>
      <c r="F13" s="150">
        <v>-0.4999999999999989</v>
      </c>
      <c r="G13" s="146">
        <v>2.77</v>
      </c>
      <c r="H13" s="153">
        <v>6.570728235945287</v>
      </c>
      <c r="I13" s="318">
        <v>53</v>
      </c>
      <c r="J13" s="253">
        <f>(I13-45)/3</f>
        <v>2.6666666666666665</v>
      </c>
      <c r="K13" s="318">
        <v>54</v>
      </c>
      <c r="L13" s="319">
        <f t="shared" si="2"/>
        <v>-1</v>
      </c>
      <c r="M13" s="320">
        <f>(L13-J13)</f>
        <v>-3.6666666666666665</v>
      </c>
      <c r="N13" s="316">
        <f>-(-10-(M13))</f>
        <v>6.333333333333334</v>
      </c>
      <c r="O13" s="317">
        <f t="shared" si="0"/>
        <v>4.99960529431887</v>
      </c>
      <c r="P13" s="156">
        <f t="shared" si="1"/>
        <v>5.785166765132079</v>
      </c>
      <c r="Q13" s="233"/>
    </row>
    <row r="14" spans="1:17" ht="36" customHeight="1" thickBot="1">
      <c r="A14" s="122" t="s">
        <v>7</v>
      </c>
      <c r="B14" s="198">
        <v>25.1</v>
      </c>
      <c r="C14" s="149">
        <v>1.3666666666666671</v>
      </c>
      <c r="D14" s="198">
        <v>24.3</v>
      </c>
      <c r="E14" s="152">
        <v>0.8000000000000007</v>
      </c>
      <c r="F14" s="150">
        <v>-0.5666666666666664</v>
      </c>
      <c r="G14" s="146">
        <v>2.7033333333333336</v>
      </c>
      <c r="H14" s="153">
        <v>6.4125879655254225</v>
      </c>
      <c r="I14" s="253">
        <v>61</v>
      </c>
      <c r="J14" s="253">
        <f>(I14-45)/3</f>
        <v>5.333333333333333</v>
      </c>
      <c r="K14" s="253">
        <v>60</v>
      </c>
      <c r="L14" s="321">
        <f t="shared" si="2"/>
        <v>1</v>
      </c>
      <c r="M14" s="358">
        <f>(L14-J14)</f>
        <v>-4.333333333333333</v>
      </c>
      <c r="N14" s="316">
        <f t="shared" si="3"/>
        <v>5.666666666666667</v>
      </c>
      <c r="O14" s="317">
        <f t="shared" si="0"/>
        <v>4.47333105281162</v>
      </c>
      <c r="P14" s="156">
        <f t="shared" si="1"/>
        <v>5.442959509168521</v>
      </c>
      <c r="Q14" s="233"/>
    </row>
    <row r="15" spans="1:21" ht="36" customHeight="1" thickBot="1">
      <c r="A15" s="122" t="s">
        <v>139</v>
      </c>
      <c r="B15" s="198">
        <v>26.2</v>
      </c>
      <c r="C15" s="149">
        <v>1.7333333333333332</v>
      </c>
      <c r="D15" s="198">
        <v>26.8</v>
      </c>
      <c r="E15" s="152">
        <v>-0.6000000000000014</v>
      </c>
      <c r="F15" s="225">
        <v>-2.333333333333335</v>
      </c>
      <c r="G15" s="146">
        <v>0.9366666666666652</v>
      </c>
      <c r="H15" s="153">
        <v>2.221870799399064</v>
      </c>
      <c r="I15" s="253">
        <v>49</v>
      </c>
      <c r="J15" s="253">
        <f>(I15-45)/3</f>
        <v>1.3333333333333333</v>
      </c>
      <c r="K15" s="253">
        <v>50</v>
      </c>
      <c r="L15" s="253">
        <f t="shared" si="2"/>
        <v>-1</v>
      </c>
      <c r="M15" s="322">
        <f>(L15-J15)</f>
        <v>-2.333333333333333</v>
      </c>
      <c r="N15" s="316">
        <f t="shared" si="3"/>
        <v>7.666666666666667</v>
      </c>
      <c r="O15" s="317">
        <f t="shared" si="0"/>
        <v>6.052153777333368</v>
      </c>
      <c r="P15" s="156">
        <f t="shared" si="1"/>
        <v>4.137012288366216</v>
      </c>
      <c r="Q15" s="233"/>
      <c r="U15" s="112"/>
    </row>
    <row r="16" spans="1:17" ht="36" customHeight="1" thickBot="1">
      <c r="A16" s="122" t="s">
        <v>8</v>
      </c>
      <c r="B16" s="198">
        <v>20.9</v>
      </c>
      <c r="C16" s="149">
        <v>-0.025000000000000355</v>
      </c>
      <c r="D16" s="198">
        <v>20.6</v>
      </c>
      <c r="E16" s="224">
        <v>0.29999999999999716</v>
      </c>
      <c r="F16" s="227">
        <v>0.3249999999999975</v>
      </c>
      <c r="G16" s="146">
        <v>3.595</v>
      </c>
      <c r="H16" s="153">
        <v>8.527714082391077</v>
      </c>
      <c r="I16" s="253">
        <v>49</v>
      </c>
      <c r="J16" s="253">
        <f>(I16-45)/3</f>
        <v>1.3333333333333333</v>
      </c>
      <c r="K16" s="253">
        <v>50</v>
      </c>
      <c r="L16" s="253">
        <f t="shared" si="2"/>
        <v>-1</v>
      </c>
      <c r="M16" s="323">
        <f>(L16-J16)</f>
        <v>-2.333333333333333</v>
      </c>
      <c r="N16" s="316">
        <f>-(-10-(M16))</f>
        <v>7.666666666666667</v>
      </c>
      <c r="O16" s="317">
        <f t="shared" si="0"/>
        <v>6.052153777333368</v>
      </c>
      <c r="P16" s="156">
        <f t="shared" si="1"/>
        <v>7.289933929862222</v>
      </c>
      <c r="Q16" s="233"/>
    </row>
    <row r="17" spans="1:17" ht="36" customHeight="1" thickBot="1">
      <c r="A17" s="148" t="s">
        <v>9</v>
      </c>
      <c r="B17" s="198">
        <v>15.2</v>
      </c>
      <c r="C17" s="149">
        <v>0</v>
      </c>
      <c r="D17" s="198">
        <v>15</v>
      </c>
      <c r="E17" s="150">
        <v>0</v>
      </c>
      <c r="F17" s="226">
        <v>0</v>
      </c>
      <c r="G17" s="146">
        <v>3.595</v>
      </c>
      <c r="H17" s="153">
        <v>8.527714082391084</v>
      </c>
      <c r="I17" s="318">
        <v>12</v>
      </c>
      <c r="J17" s="253">
        <v>0</v>
      </c>
      <c r="K17" s="318">
        <v>14</v>
      </c>
      <c r="L17" s="324">
        <f t="shared" si="2"/>
        <v>-2</v>
      </c>
      <c r="M17" s="325">
        <v>0</v>
      </c>
      <c r="N17" s="316">
        <v>13.67</v>
      </c>
      <c r="O17" s="317">
        <f t="shared" si="0"/>
        <v>10.791253322106147</v>
      </c>
      <c r="P17" s="156">
        <f t="shared" si="1"/>
        <v>9.659483702248615</v>
      </c>
      <c r="Q17" s="233"/>
    </row>
    <row r="18" spans="1:17" ht="36" customHeight="1" thickBot="1">
      <c r="A18" s="154" t="s">
        <v>10</v>
      </c>
      <c r="B18" s="198">
        <v>29.8</v>
      </c>
      <c r="C18" s="149">
        <v>2.9333333333333336</v>
      </c>
      <c r="D18" s="198">
        <v>29.4</v>
      </c>
      <c r="E18" s="152">
        <v>0.40000000000000213</v>
      </c>
      <c r="F18" s="150">
        <v>-2.5333333333333314</v>
      </c>
      <c r="G18" s="146">
        <v>0.7366666666666686</v>
      </c>
      <c r="H18" s="153">
        <v>1.7474499881394847</v>
      </c>
      <c r="I18" s="253">
        <v>79</v>
      </c>
      <c r="J18" s="253">
        <f>(I18-45)/3</f>
        <v>11.333333333333334</v>
      </c>
      <c r="K18" s="253">
        <v>76</v>
      </c>
      <c r="L18" s="321">
        <f t="shared" si="2"/>
        <v>3</v>
      </c>
      <c r="M18" s="358">
        <f aca="true" t="shared" si="4" ref="M18:M25">(L18-J18)</f>
        <v>-8.333333333333334</v>
      </c>
      <c r="N18" s="316">
        <f t="shared" si="3"/>
        <v>1.666666666666666</v>
      </c>
      <c r="O18" s="317">
        <f t="shared" si="0"/>
        <v>1.315685603768123</v>
      </c>
      <c r="P18" s="156">
        <f t="shared" si="1"/>
        <v>1.5315677959538039</v>
      </c>
      <c r="Q18" s="233"/>
    </row>
    <row r="19" spans="1:17" ht="36" customHeight="1" thickBot="1">
      <c r="A19" s="148" t="s">
        <v>11</v>
      </c>
      <c r="B19" s="198">
        <v>19.1</v>
      </c>
      <c r="C19" s="149">
        <v>0</v>
      </c>
      <c r="D19" s="198">
        <v>19</v>
      </c>
      <c r="E19" s="150">
        <v>0</v>
      </c>
      <c r="F19" s="150">
        <v>0</v>
      </c>
      <c r="G19" s="146">
        <v>3.595</v>
      </c>
      <c r="H19" s="153">
        <v>8.527714082391084</v>
      </c>
      <c r="I19" s="318">
        <v>36</v>
      </c>
      <c r="J19" s="253">
        <v>0</v>
      </c>
      <c r="K19" s="318">
        <v>36</v>
      </c>
      <c r="L19" s="324">
        <v>0</v>
      </c>
      <c r="M19" s="320">
        <f t="shared" si="4"/>
        <v>0</v>
      </c>
      <c r="N19" s="316">
        <v>13.67</v>
      </c>
      <c r="O19" s="317">
        <f t="shared" si="0"/>
        <v>10.791253322106147</v>
      </c>
      <c r="P19" s="156">
        <f t="shared" si="1"/>
        <v>9.659483702248615</v>
      </c>
      <c r="Q19" s="233"/>
    </row>
    <row r="20" spans="1:18" ht="36" customHeight="1" thickBot="1">
      <c r="A20" s="122" t="s">
        <v>12</v>
      </c>
      <c r="B20" s="198">
        <v>22.7</v>
      </c>
      <c r="C20" s="149">
        <v>0.5666666666666664</v>
      </c>
      <c r="D20" s="198">
        <v>22.3</v>
      </c>
      <c r="E20" s="152">
        <v>0.3999999999999986</v>
      </c>
      <c r="F20" s="150">
        <v>-0.16666666666666785</v>
      </c>
      <c r="G20" s="146">
        <v>3.103333333333332</v>
      </c>
      <c r="H20" s="153">
        <v>7.361429588044594</v>
      </c>
      <c r="I20" s="253">
        <v>77</v>
      </c>
      <c r="J20" s="253">
        <f>(I20-45)/3</f>
        <v>10.666666666666666</v>
      </c>
      <c r="K20" s="253">
        <v>75</v>
      </c>
      <c r="L20" s="321">
        <f t="shared" si="2"/>
        <v>2</v>
      </c>
      <c r="M20" s="326">
        <f t="shared" si="4"/>
        <v>-8.666666666666666</v>
      </c>
      <c r="N20" s="316">
        <f>-(-10-(M20))</f>
        <v>1.333333333333334</v>
      </c>
      <c r="O20" s="317">
        <f t="shared" si="0"/>
        <v>1.0525484830144993</v>
      </c>
      <c r="P20" s="156">
        <f t="shared" si="1"/>
        <v>4.2069890355295465</v>
      </c>
      <c r="Q20" s="233"/>
      <c r="R20" s="108">
        <f>M18-M20</f>
        <v>0.33333333333333215</v>
      </c>
    </row>
    <row r="21" spans="1:17" ht="36" customHeight="1">
      <c r="A21" s="122" t="s">
        <v>13</v>
      </c>
      <c r="B21" s="198">
        <v>18.7</v>
      </c>
      <c r="C21" s="149">
        <v>0</v>
      </c>
      <c r="D21" s="198">
        <v>18.1</v>
      </c>
      <c r="E21" s="152">
        <v>0</v>
      </c>
      <c r="F21" s="150">
        <v>0</v>
      </c>
      <c r="G21" s="146">
        <v>3.595</v>
      </c>
      <c r="H21" s="153">
        <v>8.527714082391084</v>
      </c>
      <c r="I21" s="253">
        <v>45</v>
      </c>
      <c r="J21" s="253">
        <f>(I21-45)/4</f>
        <v>0</v>
      </c>
      <c r="K21" s="253">
        <v>44</v>
      </c>
      <c r="L21" s="253">
        <f t="shared" si="2"/>
        <v>1</v>
      </c>
      <c r="M21" s="322">
        <f t="shared" si="4"/>
        <v>1</v>
      </c>
      <c r="N21" s="316">
        <f t="shared" si="3"/>
        <v>11</v>
      </c>
      <c r="O21" s="317">
        <f t="shared" si="0"/>
        <v>8.683524984869614</v>
      </c>
      <c r="P21" s="156">
        <f t="shared" si="1"/>
        <v>8.60561953363035</v>
      </c>
      <c r="Q21" s="233"/>
    </row>
    <row r="22" spans="1:17" ht="36" customHeight="1">
      <c r="A22" s="122" t="s">
        <v>14</v>
      </c>
      <c r="B22" s="198">
        <v>29</v>
      </c>
      <c r="C22" s="149">
        <v>2.6666666666666665</v>
      </c>
      <c r="D22" s="198">
        <v>28.6</v>
      </c>
      <c r="E22" s="152">
        <v>0.3999999999999986</v>
      </c>
      <c r="F22" s="152">
        <v>-2.266666666666668</v>
      </c>
      <c r="G22" s="146">
        <v>1.003333333333332</v>
      </c>
      <c r="H22" s="153">
        <v>2.380011069818927</v>
      </c>
      <c r="I22" s="253">
        <v>67</v>
      </c>
      <c r="J22" s="253">
        <f>(I22-45)/3</f>
        <v>7.333333333333333</v>
      </c>
      <c r="K22" s="253">
        <v>68</v>
      </c>
      <c r="L22" s="253">
        <f t="shared" si="2"/>
        <v>-1</v>
      </c>
      <c r="M22" s="253">
        <f t="shared" si="4"/>
        <v>-8.333333333333332</v>
      </c>
      <c r="N22" s="316">
        <f t="shared" si="3"/>
        <v>1.6666666666666679</v>
      </c>
      <c r="O22" s="317">
        <f t="shared" si="0"/>
        <v>1.3156856037681244</v>
      </c>
      <c r="P22" s="156">
        <f t="shared" si="1"/>
        <v>1.847848336793526</v>
      </c>
      <c r="Q22" s="233"/>
    </row>
    <row r="23" spans="1:17" ht="36" customHeight="1" thickBot="1">
      <c r="A23" s="148" t="s">
        <v>15</v>
      </c>
      <c r="B23" s="198">
        <v>17.1</v>
      </c>
      <c r="C23" s="149">
        <v>0</v>
      </c>
      <c r="D23" s="198">
        <v>16.5</v>
      </c>
      <c r="E23" s="150">
        <v>0</v>
      </c>
      <c r="F23" s="225">
        <v>0</v>
      </c>
      <c r="G23" s="146">
        <v>3.595</v>
      </c>
      <c r="H23" s="153">
        <v>8.527714082391084</v>
      </c>
      <c r="I23" s="318">
        <v>41</v>
      </c>
      <c r="J23" s="253">
        <v>0</v>
      </c>
      <c r="K23" s="318">
        <v>37</v>
      </c>
      <c r="L23" s="318">
        <v>0</v>
      </c>
      <c r="M23" s="318">
        <f t="shared" si="4"/>
        <v>0</v>
      </c>
      <c r="N23" s="316">
        <v>13.67</v>
      </c>
      <c r="O23" s="317">
        <f t="shared" si="0"/>
        <v>10.791253322106147</v>
      </c>
      <c r="P23" s="156">
        <f t="shared" si="1"/>
        <v>9.659483702248615</v>
      </c>
      <c r="Q23" s="233"/>
    </row>
    <row r="24" spans="1:17" ht="36" customHeight="1" thickBot="1">
      <c r="A24" s="122" t="s">
        <v>16</v>
      </c>
      <c r="B24" s="198">
        <v>30.8</v>
      </c>
      <c r="C24" s="149">
        <v>3.266666666666667</v>
      </c>
      <c r="D24" s="198">
        <v>30.4</v>
      </c>
      <c r="E24" s="224">
        <v>0.40000000000000213</v>
      </c>
      <c r="F24" s="228">
        <v>-2.866666666666665</v>
      </c>
      <c r="G24" s="146">
        <v>0.4033333333333351</v>
      </c>
      <c r="H24" s="153">
        <v>0.956748636040172</v>
      </c>
      <c r="I24" s="253">
        <v>72</v>
      </c>
      <c r="J24" s="253">
        <f>(I24-45)/3</f>
        <v>9</v>
      </c>
      <c r="K24" s="253">
        <v>73</v>
      </c>
      <c r="L24" s="253">
        <f t="shared" si="2"/>
        <v>-1</v>
      </c>
      <c r="M24" s="356">
        <f t="shared" si="4"/>
        <v>-10</v>
      </c>
      <c r="N24" s="316">
        <v>1.33</v>
      </c>
      <c r="O24" s="317">
        <f t="shared" si="0"/>
        <v>1.0499171118069626</v>
      </c>
      <c r="P24" s="156">
        <f t="shared" si="1"/>
        <v>1.0033328739235672</v>
      </c>
      <c r="Q24" s="233"/>
    </row>
    <row r="25" spans="1:17" ht="36" customHeight="1" thickBot="1">
      <c r="A25" s="154" t="s">
        <v>17</v>
      </c>
      <c r="B25" s="198">
        <v>19.3</v>
      </c>
      <c r="C25" s="149">
        <v>0</v>
      </c>
      <c r="D25" s="198">
        <v>18.8</v>
      </c>
      <c r="E25" s="150">
        <v>0</v>
      </c>
      <c r="F25" s="226">
        <v>0</v>
      </c>
      <c r="G25" s="146">
        <v>3.595</v>
      </c>
      <c r="H25" s="153">
        <v>8.527714082391084</v>
      </c>
      <c r="I25" s="253">
        <v>40</v>
      </c>
      <c r="J25" s="253">
        <f>(I25-45)/3</f>
        <v>-1.6666666666666667</v>
      </c>
      <c r="K25" s="253">
        <v>38</v>
      </c>
      <c r="L25" s="321">
        <f t="shared" si="2"/>
        <v>2</v>
      </c>
      <c r="M25" s="357">
        <f t="shared" si="4"/>
        <v>3.666666666666667</v>
      </c>
      <c r="N25" s="316">
        <f t="shared" si="3"/>
        <v>13.666666666666668</v>
      </c>
      <c r="O25" s="317">
        <f t="shared" si="0"/>
        <v>10.788621950898614</v>
      </c>
      <c r="P25" s="156">
        <f t="shared" si="1"/>
        <v>9.658168016644849</v>
      </c>
      <c r="Q25" s="233"/>
    </row>
    <row r="26" spans="1:25" ht="35.25" customHeight="1">
      <c r="A26" s="147" t="s">
        <v>110</v>
      </c>
      <c r="B26" s="151" t="s">
        <v>4</v>
      </c>
      <c r="C26" s="152" t="s">
        <v>4</v>
      </c>
      <c r="D26" s="151" t="s">
        <v>4</v>
      </c>
      <c r="E26" s="152" t="s">
        <v>41</v>
      </c>
      <c r="F26" s="152" t="s">
        <v>4</v>
      </c>
      <c r="G26" s="152">
        <v>42.15666666666666</v>
      </c>
      <c r="H26" s="153">
        <v>100</v>
      </c>
      <c r="I26" s="253"/>
      <c r="J26" s="253"/>
      <c r="K26" s="253"/>
      <c r="L26" s="253"/>
      <c r="M26" s="322"/>
      <c r="N26" s="316">
        <f>SUM(N9:N25)</f>
        <v>126.67666666666668</v>
      </c>
      <c r="O26" s="157">
        <f>SUM(O9:O25)</f>
        <v>100</v>
      </c>
      <c r="P26" s="157">
        <f>SUM(P9:P25)</f>
        <v>100</v>
      </c>
      <c r="Q26" s="234"/>
      <c r="R26" s="9"/>
      <c r="S26" s="9"/>
      <c r="T26" s="9"/>
      <c r="U26" s="9"/>
      <c r="V26" s="9"/>
      <c r="W26" s="9"/>
      <c r="X26" s="9"/>
      <c r="Y26" s="9"/>
    </row>
    <row r="27" spans="1:16" ht="54" customHeight="1">
      <c r="A27" s="681" t="s">
        <v>187</v>
      </c>
      <c r="B27" s="681"/>
      <c r="C27" s="681"/>
      <c r="D27" s="681"/>
      <c r="E27" s="681"/>
      <c r="F27" s="681"/>
      <c r="G27" s="681"/>
      <c r="H27" s="681"/>
      <c r="I27" s="681"/>
      <c r="J27" s="681"/>
      <c r="K27" s="681"/>
      <c r="L27" s="681"/>
      <c r="M27" s="681"/>
      <c r="N27" s="681"/>
      <c r="O27" s="681"/>
      <c r="P27" s="681"/>
    </row>
    <row r="28" spans="1:16" ht="40.5" customHeight="1">
      <c r="A28" s="682" t="s">
        <v>212</v>
      </c>
      <c r="B28" s="682"/>
      <c r="C28" s="682"/>
      <c r="D28" s="682"/>
      <c r="E28" s="682"/>
      <c r="F28" s="682"/>
      <c r="G28" s="682"/>
      <c r="H28" s="682"/>
      <c r="I28" s="682"/>
      <c r="J28" s="682"/>
      <c r="K28" s="682"/>
      <c r="L28" s="682"/>
      <c r="M28" s="682"/>
      <c r="N28" s="682"/>
      <c r="O28" s="682"/>
      <c r="P28" s="682"/>
    </row>
    <row r="29" spans="1:16" ht="31.5" customHeight="1">
      <c r="A29" s="680" t="s">
        <v>266</v>
      </c>
      <c r="B29" s="680"/>
      <c r="C29" s="680"/>
      <c r="D29" s="680"/>
      <c r="E29" s="680"/>
      <c r="F29" s="680"/>
      <c r="G29" s="680"/>
      <c r="H29" s="680"/>
      <c r="I29" s="680"/>
      <c r="J29" s="680"/>
      <c r="K29" s="680"/>
      <c r="L29" s="680"/>
      <c r="M29" s="680"/>
      <c r="N29" s="680"/>
      <c r="O29" s="680"/>
      <c r="P29" s="680"/>
    </row>
    <row r="30" spans="1:16" ht="15">
      <c r="A30" s="15"/>
      <c r="B30" s="15"/>
      <c r="C30" s="15"/>
      <c r="D30" s="15"/>
      <c r="E30" s="15"/>
      <c r="F30" s="15"/>
      <c r="G30" s="15"/>
      <c r="H30" s="15"/>
      <c r="I30" s="15"/>
      <c r="J30" s="15"/>
      <c r="K30" s="15"/>
      <c r="L30" s="15"/>
      <c r="M30" s="15"/>
      <c r="N30" s="15"/>
      <c r="O30" s="15"/>
      <c r="P30" s="15"/>
    </row>
  </sheetData>
  <mergeCells count="7">
    <mergeCell ref="M2:P2"/>
    <mergeCell ref="A29:P29"/>
    <mergeCell ref="A27:P27"/>
    <mergeCell ref="A28:P28"/>
    <mergeCell ref="A3:P3"/>
    <mergeCell ref="A4:P4"/>
    <mergeCell ref="A5:P5"/>
  </mergeCells>
  <printOptions/>
  <pageMargins left="1.04" right="0.75" top="0.48" bottom="1" header="0.71" footer="0.5"/>
  <pageSetup horizontalDpi="180" verticalDpi="180" orientation="portrait" paperSize="9" scale="52" r:id="rId1"/>
  <headerFooter alignWithMargins="0">
    <oddFooter>&amp;L&amp;A&amp;D</oddFooter>
  </headerFooter>
</worksheet>
</file>

<file path=xl/worksheets/sheet8.xml><?xml version="1.0" encoding="utf-8"?>
<worksheet xmlns="http://schemas.openxmlformats.org/spreadsheetml/2006/main" xmlns:r="http://schemas.openxmlformats.org/officeDocument/2006/relationships">
  <sheetPr codeName="Sheet10"/>
  <dimension ref="A1:L25"/>
  <sheetViews>
    <sheetView view="pageBreakPreview" zoomScale="75" zoomScaleNormal="75" zoomScaleSheetLayoutView="75" workbookViewId="0" topLeftCell="E13">
      <selection activeCell="J7" sqref="J7:L12"/>
    </sheetView>
  </sheetViews>
  <sheetFormatPr defaultColWidth="9.00390625" defaultRowHeight="12.75"/>
  <cols>
    <col min="1" max="1" width="4.125" style="3" customWidth="1"/>
    <col min="2" max="2" width="23.125" style="3" customWidth="1"/>
    <col min="3" max="6" width="14.00390625" style="3" customWidth="1"/>
    <col min="7" max="7" width="14.50390625" style="3" customWidth="1"/>
    <col min="8" max="8" width="20.00390625" style="3" customWidth="1"/>
    <col min="9" max="9" width="5.125" style="3" customWidth="1"/>
    <col min="10" max="11" width="12.375" style="3" customWidth="1"/>
    <col min="12" max="12" width="13.125" style="3" customWidth="1"/>
    <col min="13" max="13" width="16.125" style="3" customWidth="1"/>
    <col min="14" max="14" width="14.25390625" style="3" customWidth="1"/>
    <col min="15" max="16384" width="9.00390625" style="3" customWidth="1"/>
  </cols>
  <sheetData>
    <row r="1" spans="1:9" ht="24.75" customHeight="1">
      <c r="A1" s="15"/>
      <c r="B1" s="15"/>
      <c r="C1" s="15"/>
      <c r="D1" s="686" t="s">
        <v>224</v>
      </c>
      <c r="E1" s="686"/>
      <c r="F1" s="686"/>
      <c r="G1" s="686"/>
      <c r="H1" s="686"/>
      <c r="I1" s="221"/>
    </row>
    <row r="2" spans="1:10" s="54" customFormat="1" ht="21.75" customHeight="1">
      <c r="A2" s="641" t="s">
        <v>74</v>
      </c>
      <c r="B2" s="641"/>
      <c r="C2" s="641"/>
      <c r="D2" s="641"/>
      <c r="E2" s="641"/>
      <c r="F2" s="641"/>
      <c r="G2" s="641"/>
      <c r="H2" s="641"/>
      <c r="I2" s="221"/>
      <c r="J2" s="53"/>
    </row>
    <row r="3" spans="1:10" s="54" customFormat="1" ht="30.75" customHeight="1">
      <c r="A3" s="632" t="s">
        <v>116</v>
      </c>
      <c r="B3" s="632"/>
      <c r="C3" s="632"/>
      <c r="D3" s="632"/>
      <c r="E3" s="632"/>
      <c r="F3" s="632"/>
      <c r="G3" s="632"/>
      <c r="H3" s="632"/>
      <c r="I3" s="80"/>
      <c r="J3" s="53"/>
    </row>
    <row r="4" spans="1:10" s="79" customFormat="1" ht="98.25" customHeight="1">
      <c r="A4" s="687" t="s">
        <v>0</v>
      </c>
      <c r="B4" s="687"/>
      <c r="C4" s="180" t="s">
        <v>268</v>
      </c>
      <c r="D4" s="180" t="s">
        <v>155</v>
      </c>
      <c r="E4" s="178" t="s">
        <v>65</v>
      </c>
      <c r="F4" s="180" t="s">
        <v>46</v>
      </c>
      <c r="G4" s="178" t="s">
        <v>64</v>
      </c>
      <c r="H4" s="181" t="s">
        <v>66</v>
      </c>
      <c r="I4" s="82" t="s">
        <v>4</v>
      </c>
      <c r="J4" s="83"/>
    </row>
    <row r="5" spans="1:10" s="4" customFormat="1" ht="30.75" customHeight="1">
      <c r="A5" s="160" t="s">
        <v>51</v>
      </c>
      <c r="B5" s="126" t="s">
        <v>22</v>
      </c>
      <c r="C5" s="126" t="s">
        <v>23</v>
      </c>
      <c r="D5" s="126" t="s">
        <v>24</v>
      </c>
      <c r="E5" s="126" t="s">
        <v>40</v>
      </c>
      <c r="F5" s="126" t="s">
        <v>26</v>
      </c>
      <c r="G5" s="126" t="s">
        <v>42</v>
      </c>
      <c r="H5" s="445" t="s">
        <v>31</v>
      </c>
      <c r="J5" s="21"/>
    </row>
    <row r="6" spans="1:12" ht="34.5" customHeight="1">
      <c r="A6" s="137">
        <v>1</v>
      </c>
      <c r="B6" s="122" t="s">
        <v>2</v>
      </c>
      <c r="C6" s="391">
        <v>842734</v>
      </c>
      <c r="D6" s="391">
        <v>597304</v>
      </c>
      <c r="E6" s="403">
        <f>D6/C6*100</f>
        <v>70.87693151101058</v>
      </c>
      <c r="F6" s="402">
        <f aca="true" t="shared" si="0" ref="F6:F22">E6/$E$23*100</f>
        <v>6.0767644408348644</v>
      </c>
      <c r="G6" s="403">
        <f aca="true" t="shared" si="1" ref="G6:G22">D6/$D$23*100</f>
        <v>13.353185248774905</v>
      </c>
      <c r="H6" s="327">
        <f aca="true" t="shared" si="2" ref="H6:H22">AVERAGE(F6,G6)</f>
        <v>9.714974844804885</v>
      </c>
      <c r="I6" s="20"/>
      <c r="J6" s="20"/>
      <c r="L6" s="15"/>
    </row>
    <row r="7" spans="1:12" ht="34.5" customHeight="1">
      <c r="A7" s="137">
        <v>2</v>
      </c>
      <c r="B7" s="122" t="s">
        <v>3</v>
      </c>
      <c r="C7" s="391">
        <v>453517</v>
      </c>
      <c r="D7" s="391">
        <v>305512</v>
      </c>
      <c r="E7" s="403">
        <f>D7/C7*100</f>
        <v>67.36506018517497</v>
      </c>
      <c r="F7" s="402">
        <f t="shared" si="0"/>
        <v>5.775667675799118</v>
      </c>
      <c r="G7" s="403">
        <f t="shared" si="1"/>
        <v>6.8299531423257145</v>
      </c>
      <c r="H7" s="327">
        <f t="shared" si="2"/>
        <v>6.302810409062417</v>
      </c>
      <c r="I7" s="20"/>
      <c r="J7" s="28"/>
      <c r="K7" s="28"/>
      <c r="L7" s="437"/>
    </row>
    <row r="8" spans="1:12" ht="34.5" customHeight="1">
      <c r="A8" s="137">
        <v>3</v>
      </c>
      <c r="B8" s="438" t="s">
        <v>138</v>
      </c>
      <c r="C8" s="391">
        <v>75081</v>
      </c>
      <c r="D8" s="391">
        <v>60680</v>
      </c>
      <c r="E8" s="403">
        <f>D8/C8*100</f>
        <v>80.81938173439353</v>
      </c>
      <c r="F8" s="402">
        <f t="shared" si="0"/>
        <v>6.929198747515287</v>
      </c>
      <c r="G8" s="403">
        <f t="shared" si="1"/>
        <v>1.3565475551740174</v>
      </c>
      <c r="H8" s="327">
        <f t="shared" si="2"/>
        <v>4.142873151344652</v>
      </c>
      <c r="I8" s="20"/>
      <c r="J8" s="28"/>
      <c r="K8" s="28"/>
      <c r="L8" s="437"/>
    </row>
    <row r="9" spans="1:12" ht="34.5" customHeight="1">
      <c r="A9" s="137">
        <v>4</v>
      </c>
      <c r="B9" s="438" t="s">
        <v>5</v>
      </c>
      <c r="C9" s="391">
        <v>0</v>
      </c>
      <c r="D9" s="391">
        <v>0</v>
      </c>
      <c r="E9" s="391">
        <v>0</v>
      </c>
      <c r="F9" s="439">
        <f t="shared" si="0"/>
        <v>0</v>
      </c>
      <c r="G9" s="391">
        <f t="shared" si="1"/>
        <v>0</v>
      </c>
      <c r="H9" s="327">
        <f t="shared" si="2"/>
        <v>0</v>
      </c>
      <c r="I9" s="20"/>
      <c r="J9" s="28"/>
      <c r="K9" s="28"/>
      <c r="L9" s="437"/>
    </row>
    <row r="10" spans="1:12" ht="34.5" customHeight="1">
      <c r="A10" s="137">
        <v>5</v>
      </c>
      <c r="B10" s="122" t="s">
        <v>6</v>
      </c>
      <c r="C10" s="391">
        <v>237644</v>
      </c>
      <c r="D10" s="391">
        <v>161805</v>
      </c>
      <c r="E10" s="403">
        <f aca="true" t="shared" si="3" ref="E10:E22">D10/C10*100</f>
        <v>68.08713874535019</v>
      </c>
      <c r="F10" s="402">
        <f t="shared" si="0"/>
        <v>5.837576412879255</v>
      </c>
      <c r="G10" s="403">
        <f t="shared" si="1"/>
        <v>3.617273849125443</v>
      </c>
      <c r="H10" s="327">
        <f t="shared" si="2"/>
        <v>4.727425131002349</v>
      </c>
      <c r="I10" s="20"/>
      <c r="J10" s="20"/>
      <c r="L10" s="437"/>
    </row>
    <row r="11" spans="1:10" ht="34.5" customHeight="1">
      <c r="A11" s="137">
        <v>6</v>
      </c>
      <c r="B11" s="122" t="s">
        <v>7</v>
      </c>
      <c r="C11" s="391">
        <v>105783</v>
      </c>
      <c r="D11" s="391">
        <v>101169</v>
      </c>
      <c r="E11" s="403">
        <f t="shared" si="3"/>
        <v>95.63824054904853</v>
      </c>
      <c r="F11" s="402">
        <f t="shared" si="0"/>
        <v>8.19972093828844</v>
      </c>
      <c r="G11" s="403">
        <f t="shared" si="1"/>
        <v>2.261709947419251</v>
      </c>
      <c r="H11" s="327">
        <f t="shared" si="2"/>
        <v>5.230715442853845</v>
      </c>
      <c r="I11" s="20"/>
      <c r="J11" s="20"/>
    </row>
    <row r="12" spans="1:12" ht="34.5" customHeight="1">
      <c r="A12" s="137">
        <v>7</v>
      </c>
      <c r="B12" s="122" t="s">
        <v>145</v>
      </c>
      <c r="C12" s="391">
        <v>1300.33</v>
      </c>
      <c r="D12" s="391">
        <v>876</v>
      </c>
      <c r="E12" s="403">
        <f>D12/C12*100</f>
        <v>67.36751440019071</v>
      </c>
      <c r="F12" s="402">
        <f t="shared" si="0"/>
        <v>5.775878092449782</v>
      </c>
      <c r="G12" s="403">
        <f t="shared" si="1"/>
        <v>0.019583646313982187</v>
      </c>
      <c r="H12" s="327">
        <f t="shared" si="2"/>
        <v>2.8977308693818817</v>
      </c>
      <c r="I12" s="20"/>
      <c r="J12" s="28"/>
      <c r="K12" s="28"/>
      <c r="L12" s="437"/>
    </row>
    <row r="13" spans="1:10" ht="34.5" customHeight="1">
      <c r="A13" s="137">
        <v>8</v>
      </c>
      <c r="B13" s="122" t="s">
        <v>8</v>
      </c>
      <c r="C13" s="391">
        <v>233814</v>
      </c>
      <c r="D13" s="391">
        <v>126122</v>
      </c>
      <c r="E13" s="403">
        <f t="shared" si="3"/>
        <v>53.94116691045019</v>
      </c>
      <c r="F13" s="402">
        <f t="shared" si="0"/>
        <v>4.624745428315288</v>
      </c>
      <c r="G13" s="403">
        <f t="shared" si="1"/>
        <v>2.819553242479522</v>
      </c>
      <c r="H13" s="327">
        <f t="shared" si="2"/>
        <v>3.722149335397405</v>
      </c>
      <c r="I13" s="20"/>
      <c r="J13" s="20"/>
    </row>
    <row r="14" spans="1:10" ht="34.5" customHeight="1">
      <c r="A14" s="137">
        <v>9</v>
      </c>
      <c r="B14" s="122" t="s">
        <v>9</v>
      </c>
      <c r="C14" s="391">
        <v>170605</v>
      </c>
      <c r="D14" s="391">
        <v>76664</v>
      </c>
      <c r="E14" s="403">
        <f t="shared" si="3"/>
        <v>44.936549339116674</v>
      </c>
      <c r="F14" s="402">
        <f t="shared" si="0"/>
        <v>3.852717933695323</v>
      </c>
      <c r="G14" s="403">
        <f t="shared" si="1"/>
        <v>1.713882033122295</v>
      </c>
      <c r="H14" s="327">
        <f t="shared" si="2"/>
        <v>2.783299983408809</v>
      </c>
      <c r="I14" s="20"/>
      <c r="J14" s="20"/>
    </row>
    <row r="15" spans="1:10" ht="34.5" customHeight="1">
      <c r="A15" s="137">
        <v>10</v>
      </c>
      <c r="B15" s="122" t="s">
        <v>10</v>
      </c>
      <c r="C15" s="391">
        <v>223264</v>
      </c>
      <c r="D15" s="391">
        <v>134188</v>
      </c>
      <c r="E15" s="403">
        <f t="shared" si="3"/>
        <v>60.102837895943814</v>
      </c>
      <c r="F15" s="402">
        <f t="shared" si="0"/>
        <v>5.1530276541754025</v>
      </c>
      <c r="G15" s="403">
        <f t="shared" si="1"/>
        <v>2.9998748077404587</v>
      </c>
      <c r="H15" s="327">
        <f t="shared" si="2"/>
        <v>4.076451230957931</v>
      </c>
      <c r="I15" s="20"/>
      <c r="J15" s="20"/>
    </row>
    <row r="16" spans="1:10" ht="34.5" customHeight="1">
      <c r="A16" s="137">
        <v>11</v>
      </c>
      <c r="B16" s="122" t="s">
        <v>11</v>
      </c>
      <c r="C16" s="391">
        <v>711727</v>
      </c>
      <c r="D16" s="391">
        <v>615135</v>
      </c>
      <c r="E16" s="403">
        <f t="shared" si="3"/>
        <v>86.42850418770118</v>
      </c>
      <c r="F16" s="402">
        <f t="shared" si="0"/>
        <v>7.410107205907751</v>
      </c>
      <c r="G16" s="403">
        <f t="shared" si="1"/>
        <v>13.751810816611224</v>
      </c>
      <c r="H16" s="327">
        <f t="shared" si="2"/>
        <v>10.580959011259488</v>
      </c>
      <c r="I16" s="20"/>
      <c r="J16" s="20"/>
    </row>
    <row r="17" spans="1:10" ht="34.5" customHeight="1">
      <c r="A17" s="137">
        <v>12</v>
      </c>
      <c r="B17" s="122" t="s">
        <v>12</v>
      </c>
      <c r="C17" s="391">
        <v>189900</v>
      </c>
      <c r="D17" s="391">
        <v>159384</v>
      </c>
      <c r="E17" s="403">
        <f t="shared" si="3"/>
        <v>83.9304897314376</v>
      </c>
      <c r="F17" s="402">
        <f t="shared" si="0"/>
        <v>7.1959353294326</v>
      </c>
      <c r="G17" s="403">
        <f t="shared" si="1"/>
        <v>3.5631505526344034</v>
      </c>
      <c r="H17" s="327">
        <f t="shared" si="2"/>
        <v>5.379542941033502</v>
      </c>
      <c r="I17" s="20"/>
      <c r="J17" s="20"/>
    </row>
    <row r="18" spans="1:10" ht="34.5" customHeight="1">
      <c r="A18" s="137">
        <v>13</v>
      </c>
      <c r="B18" s="122" t="s">
        <v>13</v>
      </c>
      <c r="C18" s="391">
        <v>149408</v>
      </c>
      <c r="D18" s="391">
        <v>103409</v>
      </c>
      <c r="E18" s="403">
        <f t="shared" si="3"/>
        <v>69.21249196830156</v>
      </c>
      <c r="F18" s="402">
        <f t="shared" si="0"/>
        <v>5.9340606469286294</v>
      </c>
      <c r="G18" s="403">
        <f t="shared" si="1"/>
        <v>2.3117868512358264</v>
      </c>
      <c r="H18" s="327">
        <f t="shared" si="2"/>
        <v>4.1229237490822275</v>
      </c>
      <c r="I18" s="20"/>
      <c r="J18" s="20"/>
    </row>
    <row r="19" spans="1:10" ht="34.5" customHeight="1">
      <c r="A19" s="137">
        <v>14</v>
      </c>
      <c r="B19" s="122" t="s">
        <v>14</v>
      </c>
      <c r="C19" s="391">
        <v>615177</v>
      </c>
      <c r="D19" s="391">
        <v>465517</v>
      </c>
      <c r="E19" s="403">
        <f t="shared" si="3"/>
        <v>75.67204235528962</v>
      </c>
      <c r="F19" s="402">
        <f t="shared" si="0"/>
        <v>6.487882112652385</v>
      </c>
      <c r="G19" s="403">
        <f t="shared" si="1"/>
        <v>10.406986622312838</v>
      </c>
      <c r="H19" s="327">
        <f t="shared" si="2"/>
        <v>8.447434367482611</v>
      </c>
      <c r="I19" s="20"/>
      <c r="J19" s="20"/>
    </row>
    <row r="20" spans="1:10" ht="34.5" customHeight="1">
      <c r="A20" s="137">
        <v>15</v>
      </c>
      <c r="B20" s="122" t="s">
        <v>15</v>
      </c>
      <c r="C20" s="391">
        <v>208006</v>
      </c>
      <c r="D20" s="391">
        <v>189428</v>
      </c>
      <c r="E20" s="403">
        <f t="shared" si="3"/>
        <v>91.06852686941723</v>
      </c>
      <c r="F20" s="402">
        <f t="shared" si="0"/>
        <v>7.807928108080119</v>
      </c>
      <c r="G20" s="403">
        <f t="shared" si="1"/>
        <v>4.234807025074221</v>
      </c>
      <c r="H20" s="327">
        <f t="shared" si="2"/>
        <v>6.02136756657717</v>
      </c>
      <c r="I20" s="20"/>
      <c r="J20" s="20"/>
    </row>
    <row r="21" spans="1:10" ht="34.5" customHeight="1">
      <c r="A21" s="137">
        <v>16</v>
      </c>
      <c r="B21" s="122" t="s">
        <v>16</v>
      </c>
      <c r="C21" s="391">
        <v>368072</v>
      </c>
      <c r="D21" s="391">
        <v>262755</v>
      </c>
      <c r="E21" s="403">
        <f t="shared" si="3"/>
        <v>71.38684822534721</v>
      </c>
      <c r="F21" s="402">
        <f t="shared" si="0"/>
        <v>6.120483090773692</v>
      </c>
      <c r="G21" s="403">
        <f t="shared" si="1"/>
        <v>5.874087884966198</v>
      </c>
      <c r="H21" s="327">
        <f t="shared" si="2"/>
        <v>5.997285487869945</v>
      </c>
      <c r="I21" s="20"/>
      <c r="J21" s="20"/>
    </row>
    <row r="22" spans="1:10" ht="34.5" customHeight="1">
      <c r="A22" s="137">
        <v>17</v>
      </c>
      <c r="B22" s="122" t="s">
        <v>17</v>
      </c>
      <c r="C22" s="391">
        <v>1399759</v>
      </c>
      <c r="D22" s="391">
        <v>1113172</v>
      </c>
      <c r="E22" s="403">
        <f t="shared" si="3"/>
        <v>79.52597554293274</v>
      </c>
      <c r="F22" s="402">
        <f t="shared" si="0"/>
        <v>6.8183061822720585</v>
      </c>
      <c r="G22" s="403">
        <f t="shared" si="1"/>
        <v>24.885806774689705</v>
      </c>
      <c r="H22" s="327">
        <f t="shared" si="2"/>
        <v>15.852056478480883</v>
      </c>
      <c r="I22" s="20"/>
      <c r="J22" s="20"/>
    </row>
    <row r="23" spans="1:10" ht="34.5" customHeight="1">
      <c r="A23" s="137"/>
      <c r="B23" s="122" t="s">
        <v>35</v>
      </c>
      <c r="C23" s="391">
        <f aca="true" t="shared" si="4" ref="C23:H23">SUM(C6:C22)</f>
        <v>5985791.33</v>
      </c>
      <c r="D23" s="391">
        <f t="shared" si="4"/>
        <v>4473120</v>
      </c>
      <c r="E23" s="403">
        <f t="shared" si="4"/>
        <v>1166.3597001511064</v>
      </c>
      <c r="F23" s="403">
        <f t="shared" si="4"/>
        <v>99.99999999999999</v>
      </c>
      <c r="G23" s="403">
        <f t="shared" si="4"/>
        <v>100.00000000000003</v>
      </c>
      <c r="H23" s="327">
        <f t="shared" si="4"/>
        <v>100</v>
      </c>
      <c r="I23" s="8"/>
      <c r="J23" s="20"/>
    </row>
    <row r="24" ht="21.75" customHeight="1">
      <c r="B24" s="3" t="s">
        <v>269</v>
      </c>
    </row>
    <row r="25" spans="2:8" ht="30" customHeight="1">
      <c r="B25" s="685" t="s">
        <v>270</v>
      </c>
      <c r="C25" s="685"/>
      <c r="D25" s="685"/>
      <c r="E25" s="685"/>
      <c r="F25" s="685"/>
      <c r="G25" s="685"/>
      <c r="H25" s="685"/>
    </row>
  </sheetData>
  <mergeCells count="5">
    <mergeCell ref="B25:H25"/>
    <mergeCell ref="D1:H1"/>
    <mergeCell ref="A2:H2"/>
    <mergeCell ref="A3:H3"/>
    <mergeCell ref="A4:B4"/>
  </mergeCells>
  <printOptions/>
  <pageMargins left="0.72" right="0.75" top="0.51" bottom="0.49" header="0.47" footer="0.5"/>
  <pageSetup horizontalDpi="180" verticalDpi="180" orientation="portrait" paperSize="9" scale="70" r:id="rId1"/>
</worksheet>
</file>

<file path=xl/worksheets/sheet9.xml><?xml version="1.0" encoding="utf-8"?>
<worksheet xmlns="http://schemas.openxmlformats.org/spreadsheetml/2006/main" xmlns:r="http://schemas.openxmlformats.org/officeDocument/2006/relationships">
  <sheetPr codeName="Sheet11">
    <tabColor indexed="17"/>
  </sheetPr>
  <dimension ref="A1:BJ113"/>
  <sheetViews>
    <sheetView view="pageBreakPreview" zoomScale="60" zoomScaleNormal="75" workbookViewId="0" topLeftCell="A1">
      <selection activeCell="D15" sqref="D15"/>
    </sheetView>
  </sheetViews>
  <sheetFormatPr defaultColWidth="9.00390625" defaultRowHeight="12.75"/>
  <cols>
    <col min="1" max="1" width="7.875" style="0" customWidth="1"/>
    <col min="2" max="2" width="22.625" style="0" customWidth="1"/>
    <col min="3" max="3" width="17.50390625" style="0" customWidth="1"/>
    <col min="4" max="4" width="15.125" style="0" customWidth="1"/>
    <col min="5" max="5" width="14.125" style="0" customWidth="1"/>
    <col min="6" max="6" width="15.00390625" style="0" customWidth="1"/>
  </cols>
  <sheetData>
    <row r="1" ht="24.75" customHeight="1">
      <c r="G1" s="237"/>
    </row>
    <row r="2" spans="1:7" ht="19.5" customHeight="1">
      <c r="A2" s="67"/>
      <c r="B2" s="95"/>
      <c r="C2" s="644" t="s">
        <v>224</v>
      </c>
      <c r="D2" s="644"/>
      <c r="E2" s="644"/>
      <c r="F2" s="644"/>
      <c r="G2" s="237"/>
    </row>
    <row r="3" spans="1:6" ht="27.75" customHeight="1">
      <c r="A3" s="641" t="s">
        <v>73</v>
      </c>
      <c r="B3" s="641"/>
      <c r="C3" s="641"/>
      <c r="D3" s="641"/>
      <c r="E3" s="641"/>
      <c r="F3" s="641"/>
    </row>
    <row r="4" spans="1:6" ht="24.75" customHeight="1">
      <c r="A4" s="634" t="s">
        <v>117</v>
      </c>
      <c r="B4" s="634"/>
      <c r="C4" s="634"/>
      <c r="D4" s="634"/>
      <c r="E4" s="634"/>
      <c r="F4" s="634"/>
    </row>
    <row r="5" spans="1:6" ht="20.25" customHeight="1">
      <c r="A5" s="112"/>
      <c r="B5" s="112"/>
      <c r="C5" s="112"/>
      <c r="D5" s="112"/>
      <c r="E5" s="112"/>
      <c r="F5" s="112"/>
    </row>
    <row r="6" spans="1:6" ht="61.5" customHeight="1">
      <c r="A6" s="328"/>
      <c r="B6" s="139" t="s">
        <v>0</v>
      </c>
      <c r="C6" s="184" t="s">
        <v>233</v>
      </c>
      <c r="D6" s="184" t="s">
        <v>232</v>
      </c>
      <c r="E6" s="140" t="s">
        <v>62</v>
      </c>
      <c r="F6" s="444" t="s">
        <v>63</v>
      </c>
    </row>
    <row r="7" spans="1:6" ht="25.5" customHeight="1">
      <c r="A7" s="160" t="s">
        <v>51</v>
      </c>
      <c r="B7" s="126" t="s">
        <v>22</v>
      </c>
      <c r="C7" s="126" t="s">
        <v>23</v>
      </c>
      <c r="D7" s="126" t="s">
        <v>24</v>
      </c>
      <c r="E7" s="126" t="s">
        <v>40</v>
      </c>
      <c r="F7" s="445" t="s">
        <v>26</v>
      </c>
    </row>
    <row r="8" spans="1:62" ht="35.25" customHeight="1">
      <c r="A8" s="128">
        <v>1</v>
      </c>
      <c r="B8" s="122" t="s">
        <v>2</v>
      </c>
      <c r="C8" s="299">
        <v>3525.18</v>
      </c>
      <c r="D8" s="123">
        <v>801.81</v>
      </c>
      <c r="E8" s="123">
        <f>D8/C8*100</f>
        <v>22.745221520603202</v>
      </c>
      <c r="F8" s="327">
        <f aca="true" t="shared" si="0" ref="F8:F24">E8/$E$25*100</f>
        <v>3.798265223409316</v>
      </c>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row>
    <row r="9" spans="1:6" ht="35.25" customHeight="1">
      <c r="A9" s="128">
        <v>2</v>
      </c>
      <c r="B9" s="122" t="s">
        <v>3</v>
      </c>
      <c r="C9" s="299">
        <v>0</v>
      </c>
      <c r="D9" s="123">
        <v>0</v>
      </c>
      <c r="E9" s="123">
        <v>0</v>
      </c>
      <c r="F9" s="327">
        <f t="shared" si="0"/>
        <v>0</v>
      </c>
    </row>
    <row r="10" spans="1:6" ht="35.25" customHeight="1">
      <c r="A10" s="128">
        <v>3</v>
      </c>
      <c r="B10" s="122" t="s">
        <v>138</v>
      </c>
      <c r="C10" s="299">
        <v>289.53</v>
      </c>
      <c r="D10" s="123">
        <v>31.93</v>
      </c>
      <c r="E10" s="123">
        <f aca="true" t="shared" si="1" ref="E10:E24">D10/C10*100</f>
        <v>11.02821814665147</v>
      </c>
      <c r="F10" s="327">
        <f t="shared" si="0"/>
        <v>1.8416218731769445</v>
      </c>
    </row>
    <row r="11" spans="1:6" ht="35.25" customHeight="1">
      <c r="A11" s="128">
        <v>4</v>
      </c>
      <c r="B11" s="122" t="s">
        <v>5</v>
      </c>
      <c r="C11" s="299">
        <v>0</v>
      </c>
      <c r="D11" s="123">
        <v>0</v>
      </c>
      <c r="E11" s="123">
        <v>0</v>
      </c>
      <c r="F11" s="327">
        <f t="shared" si="0"/>
        <v>0</v>
      </c>
    </row>
    <row r="12" spans="1:6" ht="35.25" customHeight="1">
      <c r="A12" s="128">
        <v>5</v>
      </c>
      <c r="B12" s="122" t="s">
        <v>6</v>
      </c>
      <c r="C12" s="299">
        <v>1402.59</v>
      </c>
      <c r="D12" s="123">
        <v>978.24</v>
      </c>
      <c r="E12" s="123">
        <f t="shared" si="1"/>
        <v>69.74525698885633</v>
      </c>
      <c r="F12" s="327">
        <f t="shared" si="0"/>
        <v>11.646885209649657</v>
      </c>
    </row>
    <row r="13" spans="1:6" ht="35.25" customHeight="1">
      <c r="A13" s="128">
        <v>6</v>
      </c>
      <c r="B13" s="122" t="s">
        <v>7</v>
      </c>
      <c r="C13" s="299">
        <v>74.92</v>
      </c>
      <c r="D13" s="123">
        <v>29.34</v>
      </c>
      <c r="E13" s="123">
        <f t="shared" si="1"/>
        <v>39.161772557394556</v>
      </c>
      <c r="F13" s="327">
        <f t="shared" si="0"/>
        <v>6.539694443383566</v>
      </c>
    </row>
    <row r="14" spans="1:6" ht="35.25" customHeight="1">
      <c r="A14" s="128">
        <v>7</v>
      </c>
      <c r="B14" s="122" t="s">
        <v>139</v>
      </c>
      <c r="C14" s="299">
        <v>47</v>
      </c>
      <c r="D14" s="123">
        <v>2.06</v>
      </c>
      <c r="E14" s="123">
        <f t="shared" si="1"/>
        <v>4.382978723404255</v>
      </c>
      <c r="F14" s="327">
        <f t="shared" si="0"/>
        <v>0.7319214563361987</v>
      </c>
    </row>
    <row r="15" spans="1:6" ht="35.25" customHeight="1">
      <c r="A15" s="128">
        <v>8</v>
      </c>
      <c r="B15" s="122" t="s">
        <v>8</v>
      </c>
      <c r="C15" s="299">
        <v>1532.97</v>
      </c>
      <c r="D15" s="123">
        <v>912.35</v>
      </c>
      <c r="E15" s="123">
        <f t="shared" si="1"/>
        <v>59.51518946880891</v>
      </c>
      <c r="F15" s="327">
        <f t="shared" si="0"/>
        <v>9.938547937166819</v>
      </c>
    </row>
    <row r="16" spans="1:6" ht="35.25" customHeight="1">
      <c r="A16" s="128">
        <v>9</v>
      </c>
      <c r="B16" s="122" t="s">
        <v>9</v>
      </c>
      <c r="C16" s="299">
        <v>900</v>
      </c>
      <c r="D16" s="123">
        <v>335.84</v>
      </c>
      <c r="E16" s="123">
        <f t="shared" si="1"/>
        <v>37.315555555555555</v>
      </c>
      <c r="F16" s="327">
        <f t="shared" si="0"/>
        <v>6.231391364136786</v>
      </c>
    </row>
    <row r="17" spans="1:6" ht="35.25" customHeight="1">
      <c r="A17" s="128">
        <v>10</v>
      </c>
      <c r="B17" s="122" t="s">
        <v>10</v>
      </c>
      <c r="C17" s="299">
        <v>711.07</v>
      </c>
      <c r="D17" s="123">
        <v>420.31</v>
      </c>
      <c r="E17" s="123">
        <f t="shared" si="1"/>
        <v>59.109511018605765</v>
      </c>
      <c r="F17" s="327">
        <f t="shared" si="0"/>
        <v>9.870802967178399</v>
      </c>
    </row>
    <row r="18" spans="1:6" ht="35.25" customHeight="1">
      <c r="A18" s="128">
        <v>11</v>
      </c>
      <c r="B18" s="122" t="s">
        <v>11</v>
      </c>
      <c r="C18" s="299">
        <v>826</v>
      </c>
      <c r="D18" s="123">
        <v>605.66</v>
      </c>
      <c r="E18" s="123">
        <f t="shared" si="1"/>
        <v>73.32445520581113</v>
      </c>
      <c r="F18" s="327">
        <f t="shared" si="0"/>
        <v>12.244581921586871</v>
      </c>
    </row>
    <row r="19" spans="1:6" ht="35.25" customHeight="1">
      <c r="A19" s="128">
        <v>12</v>
      </c>
      <c r="B19" s="122" t="s">
        <v>12</v>
      </c>
      <c r="C19" s="299">
        <v>900</v>
      </c>
      <c r="D19" s="123">
        <v>70.07</v>
      </c>
      <c r="E19" s="123">
        <f t="shared" si="1"/>
        <v>7.785555555555555</v>
      </c>
      <c r="F19" s="327">
        <f t="shared" si="0"/>
        <v>1.3001238473233223</v>
      </c>
    </row>
    <row r="20" spans="1:6" ht="35.25" customHeight="1">
      <c r="A20" s="128">
        <v>13</v>
      </c>
      <c r="B20" s="122" t="s">
        <v>13</v>
      </c>
      <c r="C20" s="300">
        <v>188.4</v>
      </c>
      <c r="D20" s="123">
        <v>31.39</v>
      </c>
      <c r="E20" s="123">
        <f t="shared" si="1"/>
        <v>16.661358811040337</v>
      </c>
      <c r="F20" s="327">
        <f t="shared" si="0"/>
        <v>2.782310108054758</v>
      </c>
    </row>
    <row r="21" spans="1:6" ht="35.25" customHeight="1">
      <c r="A21" s="128">
        <v>14</v>
      </c>
      <c r="B21" s="122" t="s">
        <v>14</v>
      </c>
      <c r="C21" s="299">
        <v>1063</v>
      </c>
      <c r="D21" s="123">
        <v>524.78</v>
      </c>
      <c r="E21" s="123">
        <f t="shared" si="1"/>
        <v>49.36782690498588</v>
      </c>
      <c r="F21" s="327">
        <f t="shared" si="0"/>
        <v>8.244021713248447</v>
      </c>
    </row>
    <row r="22" spans="1:6" ht="35.25" customHeight="1">
      <c r="A22" s="128">
        <v>15</v>
      </c>
      <c r="B22" s="122" t="s">
        <v>15</v>
      </c>
      <c r="C22" s="299">
        <v>812.84</v>
      </c>
      <c r="D22" s="123">
        <v>491.13</v>
      </c>
      <c r="E22" s="123">
        <f t="shared" si="1"/>
        <v>60.42148516313173</v>
      </c>
      <c r="F22" s="327">
        <f t="shared" si="0"/>
        <v>10.08989187614555</v>
      </c>
    </row>
    <row r="23" spans="1:6" ht="35.25" customHeight="1">
      <c r="A23" s="128">
        <v>16</v>
      </c>
      <c r="B23" s="122" t="s">
        <v>16</v>
      </c>
      <c r="C23" s="299">
        <v>1210.01</v>
      </c>
      <c r="D23" s="123">
        <v>424.89</v>
      </c>
      <c r="E23" s="123">
        <f t="shared" si="1"/>
        <v>35.11458582986917</v>
      </c>
      <c r="F23" s="327">
        <f t="shared" si="0"/>
        <v>5.863847493030551</v>
      </c>
    </row>
    <row r="24" spans="1:6" ht="35.25" customHeight="1">
      <c r="A24" s="128">
        <v>17</v>
      </c>
      <c r="B24" s="122" t="s">
        <v>17</v>
      </c>
      <c r="C24" s="299">
        <v>1898.43</v>
      </c>
      <c r="D24" s="123">
        <v>1009.07</v>
      </c>
      <c r="E24" s="123">
        <f t="shared" si="1"/>
        <v>53.152868422854674</v>
      </c>
      <c r="F24" s="327">
        <f t="shared" si="0"/>
        <v>8.876092566172817</v>
      </c>
    </row>
    <row r="25" spans="1:6" ht="43.5" customHeight="1">
      <c r="A25" s="137"/>
      <c r="B25" s="122" t="s">
        <v>35</v>
      </c>
      <c r="C25" s="300">
        <f>SUM(C8:C24)</f>
        <v>15381.94</v>
      </c>
      <c r="D25" s="123">
        <f>SUM(D8:D24)</f>
        <v>6668.87</v>
      </c>
      <c r="E25" s="123">
        <f>SUM(E8:E24)</f>
        <v>598.8318398731285</v>
      </c>
      <c r="F25" s="327">
        <f>SUM(F8:F24)</f>
        <v>99.99999999999999</v>
      </c>
    </row>
    <row r="26" spans="2:6" ht="12.75">
      <c r="B26" s="141"/>
      <c r="F26" s="158"/>
    </row>
    <row r="27" spans="3:6" ht="12">
      <c r="C27" s="108"/>
      <c r="F27" s="158"/>
    </row>
    <row r="28" ht="12">
      <c r="F28" s="158"/>
    </row>
    <row r="29" ht="12">
      <c r="F29" s="158"/>
    </row>
    <row r="30" ht="12">
      <c r="F30" s="158"/>
    </row>
    <row r="31" ht="12">
      <c r="F31" s="158"/>
    </row>
    <row r="32" ht="12">
      <c r="F32" s="158"/>
    </row>
    <row r="33" ht="12">
      <c r="F33" s="158"/>
    </row>
    <row r="34" ht="12">
      <c r="F34" s="158"/>
    </row>
    <row r="35" ht="12">
      <c r="F35" s="158"/>
    </row>
    <row r="36" ht="12">
      <c r="F36" s="158"/>
    </row>
    <row r="37" ht="12">
      <c r="F37" s="158"/>
    </row>
    <row r="38" ht="12">
      <c r="F38" s="158"/>
    </row>
    <row r="39" ht="12">
      <c r="F39" s="158"/>
    </row>
    <row r="40" ht="12">
      <c r="F40" s="158"/>
    </row>
    <row r="41" ht="12">
      <c r="F41" s="158"/>
    </row>
    <row r="42" ht="12">
      <c r="F42" s="158"/>
    </row>
    <row r="43" ht="12">
      <c r="F43" s="158"/>
    </row>
    <row r="44" ht="12">
      <c r="F44" s="158"/>
    </row>
    <row r="45" ht="12">
      <c r="F45" s="158"/>
    </row>
    <row r="46" ht="12">
      <c r="F46" s="158"/>
    </row>
    <row r="47" ht="12">
      <c r="F47" s="158"/>
    </row>
    <row r="48" ht="12">
      <c r="F48" s="158"/>
    </row>
    <row r="49" ht="12">
      <c r="F49" s="158"/>
    </row>
    <row r="50" ht="12">
      <c r="F50" s="158"/>
    </row>
    <row r="51" ht="12">
      <c r="F51" s="158"/>
    </row>
    <row r="52" ht="12">
      <c r="F52" s="158"/>
    </row>
    <row r="53" ht="12">
      <c r="F53" s="158"/>
    </row>
    <row r="54" ht="12">
      <c r="F54" s="158"/>
    </row>
    <row r="55" ht="12">
      <c r="F55" s="158"/>
    </row>
    <row r="56" ht="12">
      <c r="F56" s="158"/>
    </row>
    <row r="57" ht="12">
      <c r="F57" s="158"/>
    </row>
    <row r="58" ht="12">
      <c r="F58" s="158"/>
    </row>
    <row r="59" ht="12">
      <c r="F59" s="158"/>
    </row>
    <row r="60" ht="12">
      <c r="F60" s="158"/>
    </row>
    <row r="61" ht="12">
      <c r="F61" s="158"/>
    </row>
    <row r="62" ht="12">
      <c r="F62" s="158"/>
    </row>
    <row r="63" ht="12">
      <c r="F63" s="158"/>
    </row>
    <row r="64" ht="12">
      <c r="F64" s="158"/>
    </row>
    <row r="65" ht="12">
      <c r="F65" s="158"/>
    </row>
    <row r="66" ht="12">
      <c r="F66" s="158"/>
    </row>
    <row r="67" ht="12">
      <c r="F67" s="158"/>
    </row>
    <row r="68" ht="12">
      <c r="F68" s="158"/>
    </row>
    <row r="69" ht="12">
      <c r="F69" s="158"/>
    </row>
    <row r="70" ht="12">
      <c r="F70" s="158"/>
    </row>
    <row r="71" ht="12">
      <c r="F71" s="158"/>
    </row>
    <row r="72" ht="12">
      <c r="F72" s="158"/>
    </row>
    <row r="73" ht="12">
      <c r="F73" s="158"/>
    </row>
    <row r="74" ht="12">
      <c r="F74" s="158"/>
    </row>
    <row r="75" ht="12">
      <c r="F75" s="158"/>
    </row>
    <row r="76" ht="12">
      <c r="F76" s="158"/>
    </row>
    <row r="77" ht="12">
      <c r="F77" s="158"/>
    </row>
    <row r="78" ht="12">
      <c r="F78" s="158"/>
    </row>
    <row r="79" ht="12">
      <c r="F79" s="158"/>
    </row>
    <row r="80" ht="12">
      <c r="F80" s="158"/>
    </row>
    <row r="81" ht="12">
      <c r="F81" s="158"/>
    </row>
    <row r="82" ht="12">
      <c r="F82" s="158"/>
    </row>
    <row r="83" ht="12">
      <c r="F83" s="158"/>
    </row>
    <row r="84" ht="12">
      <c r="F84" s="158"/>
    </row>
    <row r="85" ht="12">
      <c r="F85" s="158"/>
    </row>
    <row r="86" ht="12">
      <c r="F86" s="158"/>
    </row>
    <row r="87" ht="12">
      <c r="F87" s="158"/>
    </row>
    <row r="88" ht="12">
      <c r="F88" s="158"/>
    </row>
    <row r="89" ht="12">
      <c r="F89" s="158"/>
    </row>
    <row r="90" ht="12">
      <c r="F90" s="158"/>
    </row>
    <row r="91" ht="12">
      <c r="F91" s="158"/>
    </row>
    <row r="92" ht="12">
      <c r="F92" s="158"/>
    </row>
    <row r="93" ht="12">
      <c r="F93" s="158"/>
    </row>
    <row r="94" ht="12">
      <c r="F94" s="158"/>
    </row>
    <row r="95" ht="12">
      <c r="F95" s="158"/>
    </row>
    <row r="96" ht="12">
      <c r="F96" s="158"/>
    </row>
    <row r="97" ht="12">
      <c r="F97" s="158"/>
    </row>
    <row r="98" ht="12">
      <c r="F98" s="158"/>
    </row>
    <row r="99" ht="12">
      <c r="F99" s="158"/>
    </row>
    <row r="100" ht="12">
      <c r="F100" s="158"/>
    </row>
    <row r="101" ht="12">
      <c r="F101" s="158"/>
    </row>
    <row r="102" ht="12">
      <c r="F102" s="158"/>
    </row>
    <row r="103" ht="12">
      <c r="F103" s="158"/>
    </row>
    <row r="104" ht="12">
      <c r="F104" s="158"/>
    </row>
    <row r="105" ht="12">
      <c r="F105" s="158"/>
    </row>
    <row r="106" ht="12">
      <c r="F106" s="158"/>
    </row>
    <row r="107" ht="12">
      <c r="F107" s="158"/>
    </row>
    <row r="108" ht="12">
      <c r="F108" s="158"/>
    </row>
    <row r="109" ht="12">
      <c r="F109" s="158"/>
    </row>
    <row r="110" ht="12">
      <c r="F110" s="158"/>
    </row>
    <row r="111" ht="12">
      <c r="F111" s="158"/>
    </row>
    <row r="112" ht="12">
      <c r="F112" s="158"/>
    </row>
    <row r="113" ht="12">
      <c r="F113" s="158"/>
    </row>
  </sheetData>
  <mergeCells count="3">
    <mergeCell ref="A3:F3"/>
    <mergeCell ref="A4:F4"/>
    <mergeCell ref="C2:F2"/>
  </mergeCells>
  <printOptions/>
  <pageMargins left="1.34" right="0.75" top="0.77" bottom="1" header="0.5" footer="0.5"/>
  <pageSetup horizontalDpi="180" verticalDpi="18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dc:creator>
  <cp:keywords/>
  <dc:description/>
  <cp:lastModifiedBy> </cp:lastModifiedBy>
  <cp:lastPrinted>2008-03-19T05:47:00Z</cp:lastPrinted>
  <dcterms:created xsi:type="dcterms:W3CDTF">1999-12-01T07:28:37Z</dcterms:created>
  <dcterms:modified xsi:type="dcterms:W3CDTF">2009-04-24T09:28:43Z</dcterms:modified>
  <cp:category/>
  <cp:version/>
  <cp:contentType/>
  <cp:contentStatus/>
</cp:coreProperties>
</file>